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\Desktop\"/>
    </mc:Choice>
  </mc:AlternateContent>
  <bookViews>
    <workbookView xWindow="0" yWindow="0" windowWidth="19200" windowHeight="11025" tabRatio="657" firstSheet="1" activeTab="1"/>
  </bookViews>
  <sheets>
    <sheet name="Data " sheetId="15" state="hidden" r:id="rId1"/>
    <sheet name="Passenger Vehicle" sheetId="16" r:id="rId2"/>
    <sheet name="Commercial Vehicle" sheetId="20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I60" i="15" l="1"/>
  <c r="D60" i="15"/>
  <c r="AC43" i="15"/>
  <c r="X43" i="15"/>
  <c r="S43" i="15"/>
  <c r="N43" i="15"/>
  <c r="I43" i="15"/>
  <c r="D43" i="15"/>
  <c r="AC15" i="15"/>
  <c r="X15" i="15"/>
  <c r="S15" i="15"/>
  <c r="N15" i="15"/>
  <c r="I15" i="15"/>
  <c r="D15" i="15"/>
  <c r="I59" i="15"/>
  <c r="D59" i="15"/>
  <c r="AC42" i="15"/>
  <c r="X42" i="15"/>
  <c r="S42" i="15"/>
  <c r="N42" i="15"/>
  <c r="I42" i="15"/>
  <c r="D42" i="15"/>
  <c r="AC14" i="15"/>
  <c r="X14" i="15"/>
  <c r="S14" i="15"/>
  <c r="N14" i="15"/>
  <c r="I14" i="15"/>
  <c r="I3" i="23" s="1"/>
  <c r="D14" i="15"/>
  <c r="I58" i="15"/>
  <c r="D58" i="15"/>
  <c r="AC41" i="15"/>
  <c r="X41" i="15"/>
  <c r="S41" i="15"/>
  <c r="N41" i="15"/>
  <c r="I41" i="15"/>
  <c r="D41" i="15"/>
  <c r="AC13" i="15"/>
  <c r="X13" i="15"/>
  <c r="S13" i="15"/>
  <c r="N13" i="15"/>
  <c r="I13" i="15"/>
  <c r="D13" i="15"/>
  <c r="I57" i="15"/>
  <c r="D57" i="15"/>
  <c r="AC40" i="15"/>
  <c r="X40" i="15"/>
  <c r="S40" i="15"/>
  <c r="N40" i="15"/>
  <c r="I40" i="15"/>
  <c r="D40" i="15"/>
  <c r="AC12" i="15"/>
  <c r="X12" i="15"/>
  <c r="S12" i="15"/>
  <c r="N12" i="15"/>
  <c r="I12" i="15"/>
  <c r="D12" i="15"/>
  <c r="I56" i="15"/>
  <c r="D56" i="15"/>
  <c r="AC39" i="15"/>
  <c r="X39" i="15"/>
  <c r="S39" i="15"/>
  <c r="N39" i="15"/>
  <c r="I39" i="15"/>
  <c r="D39" i="15"/>
  <c r="AC11" i="15"/>
  <c r="X11" i="15"/>
  <c r="S11" i="15"/>
  <c r="N11" i="15"/>
  <c r="I11" i="15"/>
  <c r="D11" i="15"/>
  <c r="I55" i="15"/>
  <c r="D55" i="15"/>
  <c r="AC38" i="15"/>
  <c r="X38" i="15"/>
  <c r="S38" i="15"/>
  <c r="N38" i="15"/>
  <c r="I38" i="15"/>
  <c r="I8" i="23"/>
  <c r="D38" i="15"/>
  <c r="AC10" i="15"/>
  <c r="X10" i="15"/>
  <c r="S10" i="15"/>
  <c r="N10" i="15"/>
  <c r="I10" i="15"/>
  <c r="D10" i="15"/>
  <c r="I54" i="15"/>
  <c r="D54" i="15"/>
  <c r="AC37" i="15"/>
  <c r="X37" i="15"/>
  <c r="S37" i="15"/>
  <c r="N37" i="15"/>
  <c r="I37" i="15"/>
  <c r="D37" i="15"/>
  <c r="AC9" i="15"/>
  <c r="GI9" i="23" s="1"/>
  <c r="X9" i="15"/>
  <c r="GD9" i="23"/>
  <c r="S9" i="15"/>
  <c r="FY9" i="23" s="1"/>
  <c r="N9" i="15"/>
  <c r="FT9" i="23"/>
  <c r="I9" i="15"/>
  <c r="FO9" i="23" s="1"/>
  <c r="D9" i="15"/>
  <c r="FJ9" i="23" s="1"/>
  <c r="I53" i="15"/>
  <c r="D53" i="15"/>
  <c r="AC36" i="15"/>
  <c r="X36" i="15"/>
  <c r="S36" i="15"/>
  <c r="N36" i="15"/>
  <c r="I36" i="15"/>
  <c r="D36" i="15"/>
  <c r="AC8" i="15"/>
  <c r="X8" i="15"/>
  <c r="S8" i="15"/>
  <c r="N8" i="15"/>
  <c r="I8" i="15"/>
  <c r="D8" i="15"/>
  <c r="I52" i="15"/>
  <c r="D52" i="15"/>
  <c r="AC35" i="15"/>
  <c r="X35" i="15"/>
  <c r="S35" i="15"/>
  <c r="N35" i="15"/>
  <c r="I35" i="15"/>
  <c r="D35" i="15"/>
  <c r="S26" i="15"/>
  <c r="N26" i="15"/>
  <c r="I26" i="15"/>
  <c r="D26" i="15"/>
  <c r="AC7" i="15"/>
  <c r="X7" i="15"/>
  <c r="S7" i="15"/>
  <c r="N7" i="15"/>
  <c r="I7" i="15"/>
  <c r="D7" i="15"/>
  <c r="I51" i="15"/>
  <c r="D51" i="15"/>
  <c r="AC34" i="15"/>
  <c r="X34" i="15"/>
  <c r="S34" i="15"/>
  <c r="N34" i="15"/>
  <c r="I34" i="15"/>
  <c r="D34" i="15"/>
  <c r="S25" i="15"/>
  <c r="N25" i="15"/>
  <c r="I25" i="15"/>
  <c r="D25" i="15"/>
  <c r="AC6" i="15"/>
  <c r="X6" i="15"/>
  <c r="S6" i="15"/>
  <c r="N6" i="15"/>
  <c r="I6" i="15"/>
  <c r="D6" i="15"/>
  <c r="I50" i="15"/>
  <c r="D50" i="15"/>
  <c r="AC33" i="15"/>
  <c r="X33" i="15"/>
  <c r="S33" i="15"/>
  <c r="N33" i="15"/>
  <c r="I33" i="15"/>
  <c r="D33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49" i="15"/>
  <c r="D49" i="15"/>
  <c r="AC32" i="15"/>
  <c r="X32" i="15"/>
  <c r="S32" i="15"/>
  <c r="N32" i="15"/>
  <c r="I32" i="15"/>
  <c r="D32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<sst xmlns="http://schemas.openxmlformats.org/spreadsheetml/2006/main" count="271" uniqueCount="49">
  <si>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</si>
  <si>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</si>
  <si>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</si>
  <si>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</si>
  <si>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</si>
  <si>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</si>
  <si>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</si>
  <si>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</si>
  <si>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</si>
  <si>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</si>
  <si>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</si>
  <si>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</si>
  <si>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</si>
  <si>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</si>
  <si>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</si>
  <si>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</si>
  <si>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</si>
  <si>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</si>
  <si>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</si>
  <si>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</si>
  <si>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</si>
  <si>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</si>
  <si>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</si>
  <si>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</si>
  <si>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</si>
  <si>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</si>
  <si>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</si>
  <si>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</si>
  <si>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</si>
  <si>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</si>
  <si>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</si>
  <si>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</si>
  <si>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</si>
  <si>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</si>
  <si>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</si>
  <si>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</si>
  <si>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</si>
  <si>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</si>
  <si>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</si>
  <si>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</si>
  <si>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</si>
  <si>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</si>
  <si>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</si>
  <si>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2020-21</t>
  </si>
  <si>
    <t>FY 2021-22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</si>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</sst>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164" fontId="0" fillId="0" borderId="0" xfId="1" applyFont="1"/>
    <xf numFmtId="0" fontId="2" fillId="0" borderId="0" xfId="0" applyFont="1" applyAlignment="1"/>
    <xf numFmtId="165" fontId="1" fillId="0" borderId="0" xfId="1" applyNumberFormat="1" applyFont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58</c:v>
                </c:pt>
                <c:pt idx="3">
                  <c:v>129</c:v>
                </c:pt>
                <c:pt idx="4">
                  <c:v>144</c:v>
                </c:pt>
                <c:pt idx="5">
                  <c:v>191</c:v>
                </c:pt>
                <c:pt idx="6">
                  <c:v>206</c:v>
                </c:pt>
                <c:pt idx="7">
                  <c:v>172</c:v>
                </c:pt>
                <c:pt idx="8">
                  <c:v>185</c:v>
                </c:pt>
                <c:pt idx="9">
                  <c:v>173</c:v>
                </c:pt>
                <c:pt idx="10">
                  <c:v>181</c:v>
                </c:pt>
                <c:pt idx="11">
                  <c:v>191</c:v>
                </c:pt>
              </c:numCache>
            </c:numRef>
          </c:val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  <c:pt idx="3">
                  <c:v>175</c:v>
                </c:pt>
                <c:pt idx="4">
                  <c:v>126</c:v>
                </c:pt>
                <c:pt idx="5">
                  <c:v>87</c:v>
                </c:pt>
                <c:pt idx="6">
                  <c:v>126</c:v>
                </c:pt>
                <c:pt idx="7">
                  <c:v>134</c:v>
                </c:pt>
                <c:pt idx="8">
                  <c:v>155</c:v>
                </c:pt>
                <c:pt idx="9">
                  <c:v>159</c:v>
                </c:pt>
                <c:pt idx="10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82936"/>
        <c:axId val="114981760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0</c:v>
                </c:pt>
                <c:pt idx="1">
                  <c:v>3.5714285714285716</c:v>
                </c:pt>
                <c:pt idx="2">
                  <c:v>1.896551724137931</c:v>
                </c:pt>
                <c:pt idx="3">
                  <c:v>0.35658914728682173</c:v>
                </c:pt>
                <c:pt idx="4">
                  <c:v>-0.125</c:v>
                </c:pt>
                <c:pt idx="5">
                  <c:v>-0.54450261780104714</c:v>
                </c:pt>
                <c:pt idx="6">
                  <c:v>-0.38834951456310679</c:v>
                </c:pt>
                <c:pt idx="7">
                  <c:v>-0.22093023255813954</c:v>
                </c:pt>
                <c:pt idx="8">
                  <c:v>-0.16216216216216217</c:v>
                </c:pt>
                <c:pt idx="9">
                  <c:v>-8.0924855491329481E-2</c:v>
                </c:pt>
                <c:pt idx="10">
                  <c:v>-6.0773480662983423E-2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82152"/>
        <c:axId val="114982544"/>
      </c:lineChart>
      <c:catAx>
        <c:axId val="11498293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8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8176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82936"/>
        <c:crosses val="autoZero"/>
        <c:crossBetween val="between"/>
      </c:valAx>
      <c:catAx>
        <c:axId val="114982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4982544"/>
        <c:crosses val="autoZero"/>
        <c:auto val="1"/>
        <c:lblAlgn val="ctr"/>
        <c:lblOffset val="100"/>
        <c:noMultiLvlLbl val="0"/>
      </c:catAx>
      <c:valAx>
        <c:axId val="1149825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821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'!$Q$23:$Q$26</c:f>
              <c:numCache>
                <c:formatCode>_(* #,##0_);_(* \(#,##0\);_(* "-"??_);_(@_)</c:formatCode>
                <c:ptCount val="4"/>
                <c:pt idx="0">
                  <c:v>30</c:v>
                </c:pt>
                <c:pt idx="1">
                  <c:v>146</c:v>
                </c:pt>
                <c:pt idx="2">
                  <c:v>299</c:v>
                </c:pt>
                <c:pt idx="3">
                  <c:v>441</c:v>
                </c:pt>
              </c:numCache>
            </c:numRef>
          </c:val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'!$R$23:$R$26</c:f>
              <c:numCache>
                <c:formatCode>_(* #,##0_);_(* \(#,##0\);_(* "-"??_);_(@_)</c:formatCode>
                <c:ptCount val="4"/>
                <c:pt idx="0">
                  <c:v>87</c:v>
                </c:pt>
                <c:pt idx="1">
                  <c:v>215</c:v>
                </c:pt>
                <c:pt idx="2">
                  <c:v>363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901704"/>
        <c:axId val="437902880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'!$S$23:$S$26</c:f>
              <c:numCache>
                <c:formatCode>0%</c:formatCode>
                <c:ptCount val="4"/>
                <c:pt idx="0">
                  <c:v>1.9</c:v>
                </c:pt>
                <c:pt idx="1">
                  <c:v>0.4726027397260274</c:v>
                </c:pt>
                <c:pt idx="2">
                  <c:v>0.21404682274247491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900528"/>
        <c:axId val="437899352"/>
      </c:lineChart>
      <c:catAx>
        <c:axId val="4379017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90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79028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901704"/>
        <c:crosses val="autoZero"/>
        <c:crossBetween val="between"/>
      </c:valAx>
      <c:catAx>
        <c:axId val="437900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7899352"/>
        <c:crosses val="autoZero"/>
        <c:auto val="1"/>
        <c:lblAlgn val="ctr"/>
        <c:lblOffset val="100"/>
        <c:noMultiLvlLbl val="0"/>
      </c:catAx>
      <c:valAx>
        <c:axId val="4378993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9005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'!$B$48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'!$B$49:$B$60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26</c:v>
                </c:pt>
                <c:pt idx="2">
                  <c:v>33</c:v>
                </c:pt>
                <c:pt idx="3">
                  <c:v>33</c:v>
                </c:pt>
                <c:pt idx="4">
                  <c:v>52</c:v>
                </c:pt>
                <c:pt idx="5">
                  <c:v>59</c:v>
                </c:pt>
                <c:pt idx="6">
                  <c:v>71</c:v>
                </c:pt>
                <c:pt idx="7">
                  <c:v>65</c:v>
                </c:pt>
                <c:pt idx="8">
                  <c:v>63</c:v>
                </c:pt>
                <c:pt idx="9">
                  <c:v>63</c:v>
                </c:pt>
                <c:pt idx="10">
                  <c:v>70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'Data '!$C$48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'!$C$49:$C$60</c:f>
              <c:numCache>
                <c:formatCode>_(* #,##0_);_(* \(#,##0\);_(* "-"??_);_(@_)</c:formatCode>
                <c:ptCount val="12"/>
                <c:pt idx="0">
                  <c:v>1506</c:v>
                </c:pt>
                <c:pt idx="1">
                  <c:v>47</c:v>
                </c:pt>
                <c:pt idx="2">
                  <c:v>52</c:v>
                </c:pt>
                <c:pt idx="3">
                  <c:v>63</c:v>
                </c:pt>
                <c:pt idx="4">
                  <c:v>60</c:v>
                </c:pt>
                <c:pt idx="5">
                  <c:v>67</c:v>
                </c:pt>
                <c:pt idx="6">
                  <c:v>73</c:v>
                </c:pt>
                <c:pt idx="7">
                  <c:v>61</c:v>
                </c:pt>
                <c:pt idx="8">
                  <c:v>67</c:v>
                </c:pt>
                <c:pt idx="9">
                  <c:v>68</c:v>
                </c:pt>
                <c:pt idx="10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899744"/>
        <c:axId val="437900920"/>
      </c:barChart>
      <c:lineChart>
        <c:grouping val="standard"/>
        <c:varyColors val="0"/>
        <c:ser>
          <c:idx val="2"/>
          <c:order val="2"/>
          <c:tx>
            <c:strRef>
              <c:f>'Data '!$D$48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'!$D$49:$D$60</c:f>
              <c:numCache>
                <c:formatCode>0%</c:formatCode>
                <c:ptCount val="12"/>
                <c:pt idx="0">
                  <c:v>124.5</c:v>
                </c:pt>
                <c:pt idx="1">
                  <c:v>0.80769230769230771</c:v>
                </c:pt>
                <c:pt idx="2">
                  <c:v>0.5757575757575758</c:v>
                </c:pt>
                <c:pt idx="3">
                  <c:v>0.90909090909090906</c:v>
                </c:pt>
                <c:pt idx="4">
                  <c:v>0.15384615384615385</c:v>
                </c:pt>
                <c:pt idx="5">
                  <c:v>0.13559322033898305</c:v>
                </c:pt>
                <c:pt idx="6">
                  <c:v>2.8169014084507043E-2</c:v>
                </c:pt>
                <c:pt idx="7">
                  <c:v>-6.1538461538461542E-2</c:v>
                </c:pt>
                <c:pt idx="8">
                  <c:v>6.3492063492063489E-2</c:v>
                </c:pt>
                <c:pt idx="9">
                  <c:v>7.9365079365079361E-2</c:v>
                </c:pt>
                <c:pt idx="10">
                  <c:v>-8.5714285714285715E-2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901312"/>
        <c:axId val="437902488"/>
      </c:lineChart>
      <c:catAx>
        <c:axId val="43789974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900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790092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899744"/>
        <c:crosses val="autoZero"/>
        <c:crossBetween val="between"/>
      </c:valAx>
      <c:catAx>
        <c:axId val="43790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7902488"/>
        <c:crosses val="autoZero"/>
        <c:auto val="1"/>
        <c:lblAlgn val="ctr"/>
        <c:lblOffset val="100"/>
        <c:noMultiLvlLbl val="0"/>
      </c:catAx>
      <c:valAx>
        <c:axId val="4379024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9013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'!$G$48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'!$G$49:$G$60</c:f>
              <c:numCache>
                <c:formatCode>_(* #,##0_);_(* \(#,##0\);_(* "-"??_);_(@_)</c:formatCode>
                <c:ptCount val="12"/>
                <c:pt idx="0">
                  <c:v>46</c:v>
                </c:pt>
                <c:pt idx="1">
                  <c:v>20</c:v>
                </c:pt>
                <c:pt idx="2">
                  <c:v>36</c:v>
                </c:pt>
                <c:pt idx="3">
                  <c:v>33</c:v>
                </c:pt>
                <c:pt idx="4">
                  <c:v>54</c:v>
                </c:pt>
                <c:pt idx="5">
                  <c:v>62</c:v>
                </c:pt>
                <c:pt idx="6">
                  <c:v>69</c:v>
                </c:pt>
                <c:pt idx="7">
                  <c:v>61</c:v>
                </c:pt>
                <c:pt idx="8">
                  <c:v>61</c:v>
                </c:pt>
                <c:pt idx="9">
                  <c:v>67</c:v>
                </c:pt>
                <c:pt idx="10">
                  <c:v>69</c:v>
                </c:pt>
                <c:pt idx="11">
                  <c:v>72</c:v>
                </c:pt>
              </c:numCache>
            </c:numRef>
          </c:val>
        </c:ser>
        <c:ser>
          <c:idx val="1"/>
          <c:order val="1"/>
          <c:tx>
            <c:strRef>
              <c:f>'Data '!$H$48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'!$H$49:$H$60</c:f>
              <c:numCache>
                <c:formatCode>_(* #,##0_);_(* \(#,##0\);_(* "-"??_);_(@_)</c:formatCode>
                <c:ptCount val="12"/>
                <c:pt idx="0">
                  <c:v>1426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  <c:pt idx="4">
                  <c:v>60</c:v>
                </c:pt>
                <c:pt idx="5">
                  <c:v>68</c:v>
                </c:pt>
                <c:pt idx="6">
                  <c:v>74</c:v>
                </c:pt>
                <c:pt idx="7">
                  <c:v>65</c:v>
                </c:pt>
                <c:pt idx="8">
                  <c:v>71</c:v>
                </c:pt>
                <c:pt idx="9">
                  <c:v>63</c:v>
                </c:pt>
                <c:pt idx="10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851112"/>
        <c:axId val="432848368"/>
      </c:barChart>
      <c:lineChart>
        <c:grouping val="standard"/>
        <c:varyColors val="0"/>
        <c:ser>
          <c:idx val="2"/>
          <c:order val="2"/>
          <c:tx>
            <c:strRef>
              <c:f>'Data '!$I$48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'!$I$49:$I$60</c:f>
              <c:numCache>
                <c:formatCode>0%</c:formatCode>
                <c:ptCount val="12"/>
                <c:pt idx="0">
                  <c:v>30</c:v>
                </c:pt>
                <c:pt idx="1">
                  <c:v>1.3</c:v>
                </c:pt>
                <c:pt idx="2">
                  <c:v>0.55555555555555558</c:v>
                </c:pt>
                <c:pt idx="3">
                  <c:v>0.90909090909090906</c:v>
                </c:pt>
                <c:pt idx="4">
                  <c:v>0.1111111111111111</c:v>
                </c:pt>
                <c:pt idx="5">
                  <c:v>9.6774193548387094E-2</c:v>
                </c:pt>
                <c:pt idx="6">
                  <c:v>7.2463768115942032E-2</c:v>
                </c:pt>
                <c:pt idx="7">
                  <c:v>6.5573770491803282E-2</c:v>
                </c:pt>
                <c:pt idx="8">
                  <c:v>0.16393442622950818</c:v>
                </c:pt>
                <c:pt idx="9">
                  <c:v>-5.9701492537313432E-2</c:v>
                </c:pt>
                <c:pt idx="10">
                  <c:v>-8.6956521739130432E-2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50720"/>
        <c:axId val="432848760"/>
      </c:lineChart>
      <c:catAx>
        <c:axId val="43285111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84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284836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851112"/>
        <c:crosses val="autoZero"/>
        <c:crossBetween val="between"/>
      </c:valAx>
      <c:catAx>
        <c:axId val="43285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2848760"/>
        <c:crosses val="autoZero"/>
        <c:auto val="1"/>
        <c:lblAlgn val="ctr"/>
        <c:lblOffset val="100"/>
        <c:noMultiLvlLbl val="0"/>
      </c:catAx>
      <c:valAx>
        <c:axId val="4328487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8507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'!$B$32:$B$43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21</c:v>
                </c:pt>
                <c:pt idx="2">
                  <c:v>137</c:v>
                </c:pt>
                <c:pt idx="3">
                  <c:v>324</c:v>
                </c:pt>
                <c:pt idx="4">
                  <c:v>483</c:v>
                </c:pt>
                <c:pt idx="5">
                  <c:v>612</c:v>
                </c:pt>
                <c:pt idx="6">
                  <c:v>621</c:v>
                </c:pt>
                <c:pt idx="7">
                  <c:v>524</c:v>
                </c:pt>
                <c:pt idx="8">
                  <c:v>335</c:v>
                </c:pt>
                <c:pt idx="9">
                  <c:v>486</c:v>
                </c:pt>
                <c:pt idx="10">
                  <c:v>496</c:v>
                </c:pt>
                <c:pt idx="11">
                  <c:v>518</c:v>
                </c:pt>
              </c:numCache>
            </c:numRef>
          </c:val>
        </c:ser>
        <c:ser>
          <c:idx val="1"/>
          <c:order val="1"/>
          <c:tx>
            <c:strRef>
              <c:f>'Data '!$C$31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'!$C$32:$C$43</c:f>
              <c:numCache>
                <c:formatCode>_(* #,##0_);_(* \(#,##0\);_(* "-"??_);_(@_)</c:formatCode>
                <c:ptCount val="12"/>
                <c:pt idx="0">
                  <c:v>367</c:v>
                </c:pt>
                <c:pt idx="1">
                  <c:v>79</c:v>
                </c:pt>
                <c:pt idx="2">
                  <c:v>247</c:v>
                </c:pt>
                <c:pt idx="3">
                  <c:v>424</c:v>
                </c:pt>
                <c:pt idx="4">
                  <c:v>490</c:v>
                </c:pt>
                <c:pt idx="5">
                  <c:v>554</c:v>
                </c:pt>
                <c:pt idx="6">
                  <c:v>469</c:v>
                </c:pt>
                <c:pt idx="7">
                  <c:v>325</c:v>
                </c:pt>
                <c:pt idx="8">
                  <c:v>243</c:v>
                </c:pt>
                <c:pt idx="9">
                  <c:v>371</c:v>
                </c:pt>
                <c:pt idx="10">
                  <c:v>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847976"/>
        <c:axId val="432851504"/>
      </c:barChart>
      <c:lineChart>
        <c:grouping val="standard"/>
        <c:varyColors val="0"/>
        <c:ser>
          <c:idx val="2"/>
          <c:order val="2"/>
          <c:tx>
            <c:strRef>
              <c:f>'Data '!$D$31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'!$D$32:$D$43</c:f>
              <c:numCache>
                <c:formatCode>0%</c:formatCode>
                <c:ptCount val="12"/>
                <c:pt idx="0">
                  <c:v>0</c:v>
                </c:pt>
                <c:pt idx="1">
                  <c:v>2.7619047619047619</c:v>
                </c:pt>
                <c:pt idx="2">
                  <c:v>0.8029197080291971</c:v>
                </c:pt>
                <c:pt idx="3">
                  <c:v>0.30864197530864196</c:v>
                </c:pt>
                <c:pt idx="4">
                  <c:v>1.4492753623188406E-2</c:v>
                </c:pt>
                <c:pt idx="5">
                  <c:v>-9.4771241830065356E-2</c:v>
                </c:pt>
                <c:pt idx="6">
                  <c:v>-0.24476650563607086</c:v>
                </c:pt>
                <c:pt idx="7">
                  <c:v>-0.37977099236641221</c:v>
                </c:pt>
                <c:pt idx="8">
                  <c:v>-0.2746268656716418</c:v>
                </c:pt>
                <c:pt idx="9">
                  <c:v>-0.23662551440329219</c:v>
                </c:pt>
                <c:pt idx="10">
                  <c:v>-0.22983870967741934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49152"/>
        <c:axId val="432849544"/>
      </c:lineChart>
      <c:catAx>
        <c:axId val="43284797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85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285150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847976"/>
        <c:crosses val="autoZero"/>
        <c:crossBetween val="between"/>
      </c:valAx>
      <c:catAx>
        <c:axId val="43284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2849544"/>
        <c:crosses val="autoZero"/>
        <c:auto val="1"/>
        <c:lblAlgn val="ctr"/>
        <c:lblOffset val="100"/>
        <c:noMultiLvlLbl val="0"/>
      </c:catAx>
      <c:valAx>
        <c:axId val="4328495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8491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'!$G$32:$G$43</c:f>
              <c:numCache>
                <c:formatCode>_(* #,##0_);_(* \(#,##0\);_(* "-"??_);_(@_)</c:formatCode>
                <c:ptCount val="12"/>
                <c:pt idx="0">
                  <c:v>2</c:v>
                </c:pt>
                <c:pt idx="1">
                  <c:v>72</c:v>
                </c:pt>
                <c:pt idx="2">
                  <c:v>280</c:v>
                </c:pt>
                <c:pt idx="3">
                  <c:v>343</c:v>
                </c:pt>
                <c:pt idx="4">
                  <c:v>470</c:v>
                </c:pt>
                <c:pt idx="5">
                  <c:v>586</c:v>
                </c:pt>
                <c:pt idx="6">
                  <c:v>628</c:v>
                </c:pt>
                <c:pt idx="7">
                  <c:v>522</c:v>
                </c:pt>
                <c:pt idx="8">
                  <c:v>350</c:v>
                </c:pt>
                <c:pt idx="9">
                  <c:v>480</c:v>
                </c:pt>
                <c:pt idx="10">
                  <c:v>494</c:v>
                </c:pt>
                <c:pt idx="11">
                  <c:v>486</c:v>
                </c:pt>
              </c:numCache>
            </c:numRef>
          </c:val>
        </c:ser>
        <c:ser>
          <c:idx val="1"/>
          <c:order val="1"/>
          <c:tx>
            <c:strRef>
              <c:f>'Data '!$H$31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'!$H$32:$H$43</c:f>
              <c:numCache>
                <c:formatCode>_(* #,##0_);_(* \(#,##0\);_(* "-"??_);_(@_)</c:formatCode>
                <c:ptCount val="12"/>
                <c:pt idx="0">
                  <c:v>340</c:v>
                </c:pt>
                <c:pt idx="1">
                  <c:v>76</c:v>
                </c:pt>
                <c:pt idx="2">
                  <c:v>266</c:v>
                </c:pt>
                <c:pt idx="3">
                  <c:v>400</c:v>
                </c:pt>
                <c:pt idx="4">
                  <c:v>486</c:v>
                </c:pt>
                <c:pt idx="5">
                  <c:v>544</c:v>
                </c:pt>
                <c:pt idx="6">
                  <c:v>506</c:v>
                </c:pt>
                <c:pt idx="7">
                  <c:v>331</c:v>
                </c:pt>
                <c:pt idx="8">
                  <c:v>168</c:v>
                </c:pt>
                <c:pt idx="9">
                  <c:v>382</c:v>
                </c:pt>
                <c:pt idx="10">
                  <c:v>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851504"/>
        <c:axId val="384851896"/>
      </c:barChart>
      <c:lineChart>
        <c:grouping val="standard"/>
        <c:varyColors val="0"/>
        <c:ser>
          <c:idx val="2"/>
          <c:order val="2"/>
          <c:tx>
            <c:strRef>
              <c:f>'Data '!$I$31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'!$I$32:$I$43</c:f>
              <c:numCache>
                <c:formatCode>0%</c:formatCode>
                <c:ptCount val="12"/>
                <c:pt idx="0">
                  <c:v>169</c:v>
                </c:pt>
                <c:pt idx="1">
                  <c:v>5.5555555555555552E-2</c:v>
                </c:pt>
                <c:pt idx="2">
                  <c:v>-0.05</c:v>
                </c:pt>
                <c:pt idx="3">
                  <c:v>0.16618075801749271</c:v>
                </c:pt>
                <c:pt idx="4">
                  <c:v>3.4042553191489362E-2</c:v>
                </c:pt>
                <c:pt idx="5">
                  <c:v>-7.1672354948805458E-2</c:v>
                </c:pt>
                <c:pt idx="6">
                  <c:v>-0.19426751592356689</c:v>
                </c:pt>
                <c:pt idx="7">
                  <c:v>-0.36590038314176243</c:v>
                </c:pt>
                <c:pt idx="8">
                  <c:v>-0.52</c:v>
                </c:pt>
                <c:pt idx="9">
                  <c:v>-0.20416666666666666</c:v>
                </c:pt>
                <c:pt idx="10">
                  <c:v>-0.25303643724696356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853072"/>
        <c:axId val="384852288"/>
      </c:lineChart>
      <c:catAx>
        <c:axId val="3848515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851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5189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851504"/>
        <c:crosses val="autoZero"/>
        <c:crossBetween val="between"/>
      </c:valAx>
      <c:catAx>
        <c:axId val="38485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4852288"/>
        <c:crosses val="autoZero"/>
        <c:auto val="1"/>
        <c:lblAlgn val="ctr"/>
        <c:lblOffset val="100"/>
        <c:noMultiLvlLbl val="0"/>
      </c:catAx>
      <c:valAx>
        <c:axId val="3848522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8530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'!$L$32:$L$43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259</c:v>
                </c:pt>
                <c:pt idx="2">
                  <c:v>776</c:v>
                </c:pt>
                <c:pt idx="3">
                  <c:v>1081</c:v>
                </c:pt>
                <c:pt idx="4">
                  <c:v>1305</c:v>
                </c:pt>
                <c:pt idx="5">
                  <c:v>1561</c:v>
                </c:pt>
                <c:pt idx="6">
                  <c:v>1715</c:v>
                </c:pt>
                <c:pt idx="7">
                  <c:v>1340</c:v>
                </c:pt>
                <c:pt idx="8">
                  <c:v>1134</c:v>
                </c:pt>
                <c:pt idx="9">
                  <c:v>1290</c:v>
                </c:pt>
                <c:pt idx="10">
                  <c:v>1300</c:v>
                </c:pt>
                <c:pt idx="11">
                  <c:v>1381</c:v>
                </c:pt>
              </c:numCache>
            </c:numRef>
          </c:val>
        </c:ser>
        <c:ser>
          <c:idx val="1"/>
          <c:order val="1"/>
          <c:tx>
            <c:strRef>
              <c:f>'Data '!$M$31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'!$M$32:$M$43</c:f>
              <c:numCache>
                <c:formatCode>_(* #,##0_);_(* \(#,##0\);_(* "-"??_);_(@_)</c:formatCode>
                <c:ptCount val="12"/>
                <c:pt idx="0">
                  <c:v>1100</c:v>
                </c:pt>
                <c:pt idx="1">
                  <c:v>547</c:v>
                </c:pt>
                <c:pt idx="2">
                  <c:v>1077</c:v>
                </c:pt>
                <c:pt idx="3">
                  <c:v>1223</c:v>
                </c:pt>
                <c:pt idx="4">
                  <c:v>1112</c:v>
                </c:pt>
                <c:pt idx="5">
                  <c:v>1239</c:v>
                </c:pt>
                <c:pt idx="6">
                  <c:v>1349</c:v>
                </c:pt>
                <c:pt idx="7">
                  <c:v>1012</c:v>
                </c:pt>
                <c:pt idx="8">
                  <c:v>1029</c:v>
                </c:pt>
                <c:pt idx="9">
                  <c:v>1069</c:v>
                </c:pt>
                <c:pt idx="10">
                  <c:v>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854640"/>
        <c:axId val="384854248"/>
      </c:barChart>
      <c:lineChart>
        <c:grouping val="standard"/>
        <c:varyColors val="0"/>
        <c:ser>
          <c:idx val="2"/>
          <c:order val="2"/>
          <c:tx>
            <c:strRef>
              <c:f>'Data '!$N$31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'!$N$32:$N$43</c:f>
              <c:numCache>
                <c:formatCode>0%</c:formatCode>
                <c:ptCount val="12"/>
                <c:pt idx="0">
                  <c:v>90.666666666666671</c:v>
                </c:pt>
                <c:pt idx="1">
                  <c:v>1.111969111969112</c:v>
                </c:pt>
                <c:pt idx="2">
                  <c:v>0.38788659793814434</c:v>
                </c:pt>
                <c:pt idx="3">
                  <c:v>0.13135985198889916</c:v>
                </c:pt>
                <c:pt idx="4">
                  <c:v>-0.1478927203065134</c:v>
                </c:pt>
                <c:pt idx="5">
                  <c:v>-0.20627802690582961</c:v>
                </c:pt>
                <c:pt idx="6">
                  <c:v>-0.21341107871720116</c:v>
                </c:pt>
                <c:pt idx="7">
                  <c:v>-0.24477611940298508</c:v>
                </c:pt>
                <c:pt idx="8">
                  <c:v>-9.2592592592592587E-2</c:v>
                </c:pt>
                <c:pt idx="9">
                  <c:v>-0.17131782945736435</c:v>
                </c:pt>
                <c:pt idx="10">
                  <c:v>-0.2323076923076923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851112"/>
        <c:axId val="384853856"/>
      </c:lineChart>
      <c:catAx>
        <c:axId val="38485464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854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5424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854640"/>
        <c:crosses val="autoZero"/>
        <c:crossBetween val="between"/>
      </c:valAx>
      <c:catAx>
        <c:axId val="384851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4853856"/>
        <c:crosses val="autoZero"/>
        <c:auto val="1"/>
        <c:lblAlgn val="ctr"/>
        <c:lblOffset val="100"/>
        <c:noMultiLvlLbl val="0"/>
      </c:catAx>
      <c:valAx>
        <c:axId val="3848538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8511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'!$Q$32:$Q$43</c:f>
              <c:numCache>
                <c:formatCode>_(* #,##0_);_(* \(#,##0\);_(* "-"??_);_(@_)</c:formatCode>
                <c:ptCount val="12"/>
                <c:pt idx="0">
                  <c:v>44</c:v>
                </c:pt>
                <c:pt idx="1">
                  <c:v>291</c:v>
                </c:pt>
                <c:pt idx="2">
                  <c:v>890</c:v>
                </c:pt>
                <c:pt idx="3">
                  <c:v>1060</c:v>
                </c:pt>
                <c:pt idx="4">
                  <c:v>1275</c:v>
                </c:pt>
                <c:pt idx="5">
                  <c:v>1525</c:v>
                </c:pt>
                <c:pt idx="6">
                  <c:v>1715</c:v>
                </c:pt>
                <c:pt idx="7">
                  <c:v>1334</c:v>
                </c:pt>
                <c:pt idx="8">
                  <c:v>1083</c:v>
                </c:pt>
                <c:pt idx="9">
                  <c:v>1275</c:v>
                </c:pt>
                <c:pt idx="10">
                  <c:v>1246</c:v>
                </c:pt>
                <c:pt idx="11">
                  <c:v>1321</c:v>
                </c:pt>
              </c:numCache>
            </c:numRef>
          </c:val>
        </c:ser>
        <c:ser>
          <c:idx val="1"/>
          <c:order val="1"/>
          <c:tx>
            <c:strRef>
              <c:f>'Data '!$R$31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'!$R$32:$R$43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  <c:pt idx="3">
                  <c:v>1180</c:v>
                </c:pt>
                <c:pt idx="4">
                  <c:v>1163</c:v>
                </c:pt>
                <c:pt idx="5">
                  <c:v>1279</c:v>
                </c:pt>
                <c:pt idx="6">
                  <c:v>1353</c:v>
                </c:pt>
                <c:pt idx="7">
                  <c:v>1032</c:v>
                </c:pt>
                <c:pt idx="8">
                  <c:v>1069</c:v>
                </c:pt>
                <c:pt idx="9">
                  <c:v>1085</c:v>
                </c:pt>
                <c:pt idx="10">
                  <c:v>1007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147576"/>
        <c:axId val="568149928"/>
      </c:barChart>
      <c:lineChart>
        <c:grouping val="standard"/>
        <c:varyColors val="0"/>
        <c:ser>
          <c:idx val="2"/>
          <c:order val="2"/>
          <c:tx>
            <c:strRef>
              <c:f>'Data '!$S$31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'!$S$32:$S$43</c:f>
              <c:numCache>
                <c:formatCode>0%</c:formatCode>
                <c:ptCount val="12"/>
                <c:pt idx="0">
                  <c:v>23.022727272727273</c:v>
                </c:pt>
                <c:pt idx="1">
                  <c:v>1.1477663230240549</c:v>
                </c:pt>
                <c:pt idx="2">
                  <c:v>0.23483146067415731</c:v>
                </c:pt>
                <c:pt idx="3">
                  <c:v>0.11320754716981132</c:v>
                </c:pt>
                <c:pt idx="4">
                  <c:v>-8.7843137254901962E-2</c:v>
                </c:pt>
                <c:pt idx="5">
                  <c:v>-0.16131147540983606</c:v>
                </c:pt>
                <c:pt idx="6">
                  <c:v>-0.21107871720116619</c:v>
                </c:pt>
                <c:pt idx="7">
                  <c:v>-0.22638680659670166</c:v>
                </c:pt>
                <c:pt idx="8">
                  <c:v>-1.2927054478301015E-2</c:v>
                </c:pt>
                <c:pt idx="9">
                  <c:v>-0.14901960784313725</c:v>
                </c:pt>
                <c:pt idx="10">
                  <c:v>-0.19181380417335472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147968"/>
        <c:axId val="568148360"/>
      </c:lineChart>
      <c:catAx>
        <c:axId val="56814757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149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814992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147576"/>
        <c:crosses val="autoZero"/>
        <c:crossBetween val="between"/>
      </c:valAx>
      <c:catAx>
        <c:axId val="568147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8148360"/>
        <c:crosses val="autoZero"/>
        <c:auto val="1"/>
        <c:lblAlgn val="ctr"/>
        <c:lblOffset val="100"/>
        <c:noMultiLvlLbl val="0"/>
      </c:catAx>
      <c:valAx>
        <c:axId val="5681483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1479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'!$V$32:$V$43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41</c:v>
                </c:pt>
                <c:pt idx="3">
                  <c:v>59</c:v>
                </c:pt>
                <c:pt idx="4">
                  <c:v>71</c:v>
                </c:pt>
                <c:pt idx="5">
                  <c:v>71</c:v>
                </c:pt>
                <c:pt idx="6">
                  <c:v>82</c:v>
                </c:pt>
                <c:pt idx="7">
                  <c:v>73</c:v>
                </c:pt>
                <c:pt idx="8">
                  <c:v>61</c:v>
                </c:pt>
                <c:pt idx="9">
                  <c:v>63</c:v>
                </c:pt>
                <c:pt idx="10">
                  <c:v>64</c:v>
                </c:pt>
                <c:pt idx="11">
                  <c:v>637</c:v>
                </c:pt>
              </c:numCache>
            </c:numRef>
          </c:val>
        </c:ser>
        <c:ser>
          <c:idx val="1"/>
          <c:order val="1"/>
          <c:tx>
            <c:strRef>
              <c:f>'Data '!$W$31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'!$W$32:$W$43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  <c:pt idx="3">
                  <c:v>53</c:v>
                </c:pt>
                <c:pt idx="4">
                  <c:v>58</c:v>
                </c:pt>
                <c:pt idx="5">
                  <c:v>65</c:v>
                </c:pt>
                <c:pt idx="6">
                  <c:v>64</c:v>
                </c:pt>
                <c:pt idx="7">
                  <c:v>29</c:v>
                </c:pt>
                <c:pt idx="8">
                  <c:v>25</c:v>
                </c:pt>
                <c:pt idx="9">
                  <c:v>42</c:v>
                </c:pt>
                <c:pt idx="10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149536"/>
        <c:axId val="568149144"/>
      </c:barChart>
      <c:lineChart>
        <c:grouping val="standard"/>
        <c:varyColors val="0"/>
        <c:ser>
          <c:idx val="2"/>
          <c:order val="2"/>
          <c:tx>
            <c:strRef>
              <c:f>'Data '!$X$31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'!$X$32:$X$43</c:f>
              <c:numCache>
                <c:formatCode>0%</c:formatCode>
                <c:ptCount val="12"/>
                <c:pt idx="0">
                  <c:v>0</c:v>
                </c:pt>
                <c:pt idx="1">
                  <c:v>0.25</c:v>
                </c:pt>
                <c:pt idx="2">
                  <c:v>-0.51219512195121952</c:v>
                </c:pt>
                <c:pt idx="3">
                  <c:v>-0.10169491525423729</c:v>
                </c:pt>
                <c:pt idx="4">
                  <c:v>-0.18309859154929578</c:v>
                </c:pt>
                <c:pt idx="5">
                  <c:v>-8.4507042253521125E-2</c:v>
                </c:pt>
                <c:pt idx="6">
                  <c:v>-0.21951219512195122</c:v>
                </c:pt>
                <c:pt idx="7">
                  <c:v>-0.60273972602739723</c:v>
                </c:pt>
                <c:pt idx="8">
                  <c:v>-0.5901639344262295</c:v>
                </c:pt>
                <c:pt idx="9">
                  <c:v>-0.33333333333333331</c:v>
                </c:pt>
                <c:pt idx="10">
                  <c:v>-0.40625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150320"/>
        <c:axId val="568146792"/>
      </c:lineChart>
      <c:catAx>
        <c:axId val="56814953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149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814914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149536"/>
        <c:crosses val="autoZero"/>
        <c:crossBetween val="between"/>
      </c:valAx>
      <c:catAx>
        <c:axId val="56815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8146792"/>
        <c:crosses val="autoZero"/>
        <c:auto val="1"/>
        <c:lblAlgn val="ctr"/>
        <c:lblOffset val="100"/>
        <c:noMultiLvlLbl val="0"/>
      </c:catAx>
      <c:valAx>
        <c:axId val="5681467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1503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'!$AA$32:$AA$43</c:f>
              <c:numCache>
                <c:formatCode>_(* #,##0_);_(* \(#,##0\);_(* "-"??_);_(@_)</c:formatCode>
                <c:ptCount val="12"/>
                <c:pt idx="0">
                  <c:v>0.1</c:v>
                </c:pt>
                <c:pt idx="1">
                  <c:v>13</c:v>
                </c:pt>
                <c:pt idx="2">
                  <c:v>41</c:v>
                </c:pt>
                <c:pt idx="3">
                  <c:v>59</c:v>
                </c:pt>
                <c:pt idx="4">
                  <c:v>70</c:v>
                </c:pt>
                <c:pt idx="5">
                  <c:v>70</c:v>
                </c:pt>
                <c:pt idx="6">
                  <c:v>82</c:v>
                </c:pt>
                <c:pt idx="7">
                  <c:v>72</c:v>
                </c:pt>
                <c:pt idx="8">
                  <c:v>61</c:v>
                </c:pt>
                <c:pt idx="9">
                  <c:v>59</c:v>
                </c:pt>
                <c:pt idx="10">
                  <c:v>52</c:v>
                </c:pt>
                <c:pt idx="11">
                  <c:v>651</c:v>
                </c:pt>
              </c:numCache>
            </c:numRef>
          </c:val>
        </c:ser>
        <c:ser>
          <c:idx val="1"/>
          <c:order val="1"/>
          <c:tx>
            <c:strRef>
              <c:f>'Data '!$AB$31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'!$AB$32:$AB$43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  <c:pt idx="5">
                  <c:v>62</c:v>
                </c:pt>
                <c:pt idx="6">
                  <c:v>56</c:v>
                </c:pt>
                <c:pt idx="7">
                  <c:v>43</c:v>
                </c:pt>
                <c:pt idx="8">
                  <c:v>34</c:v>
                </c:pt>
                <c:pt idx="9">
                  <c:v>36</c:v>
                </c:pt>
                <c:pt idx="10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378440"/>
        <c:axId val="441377656"/>
      </c:barChart>
      <c:lineChart>
        <c:grouping val="standard"/>
        <c:varyColors val="0"/>
        <c:ser>
          <c:idx val="2"/>
          <c:order val="2"/>
          <c:tx>
            <c:strRef>
              <c:f>'Data '!$AC$31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'!$AC$32:$AC$43</c:f>
              <c:numCache>
                <c:formatCode>0%</c:formatCode>
                <c:ptCount val="12"/>
                <c:pt idx="0">
                  <c:v>278.99999999999994</c:v>
                </c:pt>
                <c:pt idx="1">
                  <c:v>-0.23076923076923078</c:v>
                </c:pt>
                <c:pt idx="2">
                  <c:v>-9.7560975609756101E-2</c:v>
                </c:pt>
                <c:pt idx="3">
                  <c:v>-0.15254237288135594</c:v>
                </c:pt>
                <c:pt idx="4">
                  <c:v>-0.24285714285714285</c:v>
                </c:pt>
                <c:pt idx="5">
                  <c:v>-0.11428571428571428</c:v>
                </c:pt>
                <c:pt idx="6">
                  <c:v>-0.31707317073170732</c:v>
                </c:pt>
                <c:pt idx="7">
                  <c:v>-0.40277777777777779</c:v>
                </c:pt>
                <c:pt idx="8">
                  <c:v>-0.44262295081967212</c:v>
                </c:pt>
                <c:pt idx="9">
                  <c:v>-0.38983050847457629</c:v>
                </c:pt>
                <c:pt idx="10">
                  <c:v>-0.28846153846153844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376872"/>
        <c:axId val="441378048"/>
      </c:lineChart>
      <c:catAx>
        <c:axId val="44137844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377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377656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378440"/>
        <c:crosses val="autoZero"/>
        <c:crossBetween val="between"/>
      </c:valAx>
      <c:catAx>
        <c:axId val="441376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1378048"/>
        <c:crosses val="autoZero"/>
        <c:auto val="1"/>
        <c:lblAlgn val="ctr"/>
        <c:lblOffset val="100"/>
        <c:noMultiLvlLbl val="0"/>
      </c:catAx>
      <c:valAx>
        <c:axId val="4413780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3768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3</c:v>
                </c:pt>
                <c:pt idx="1">
                  <c:v>26</c:v>
                </c:pt>
                <c:pt idx="2">
                  <c:v>73</c:v>
                </c:pt>
                <c:pt idx="3">
                  <c:v>126</c:v>
                </c:pt>
                <c:pt idx="4">
                  <c:v>148</c:v>
                </c:pt>
                <c:pt idx="5">
                  <c:v>186</c:v>
                </c:pt>
                <c:pt idx="6">
                  <c:v>212</c:v>
                </c:pt>
                <c:pt idx="7">
                  <c:v>175</c:v>
                </c:pt>
                <c:pt idx="8">
                  <c:v>183</c:v>
                </c:pt>
                <c:pt idx="9">
                  <c:v>178</c:v>
                </c:pt>
                <c:pt idx="10">
                  <c:v>178</c:v>
                </c:pt>
                <c:pt idx="11">
                  <c:v>183</c:v>
                </c:pt>
              </c:numCache>
            </c:numRef>
          </c:val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  <c:pt idx="3">
                  <c:v>165</c:v>
                </c:pt>
                <c:pt idx="4">
                  <c:v>141</c:v>
                </c:pt>
                <c:pt idx="5">
                  <c:v>100</c:v>
                </c:pt>
                <c:pt idx="6">
                  <c:v>130</c:v>
                </c:pt>
                <c:pt idx="7">
                  <c:v>131</c:v>
                </c:pt>
                <c:pt idx="8">
                  <c:v>150</c:v>
                </c:pt>
                <c:pt idx="9">
                  <c:v>152</c:v>
                </c:pt>
                <c:pt idx="10">
                  <c:v>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512256"/>
        <c:axId val="435512648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54.333333333333336</c:v>
                </c:pt>
                <c:pt idx="1">
                  <c:v>1.3461538461538463</c:v>
                </c:pt>
                <c:pt idx="2">
                  <c:v>1.1369863013698631</c:v>
                </c:pt>
                <c:pt idx="3">
                  <c:v>0.30952380952380953</c:v>
                </c:pt>
                <c:pt idx="4">
                  <c:v>-4.72972972972973E-2</c:v>
                </c:pt>
                <c:pt idx="5">
                  <c:v>-0.46236559139784944</c:v>
                </c:pt>
                <c:pt idx="6">
                  <c:v>-0.3867924528301887</c:v>
                </c:pt>
                <c:pt idx="7">
                  <c:v>-0.25142857142857145</c:v>
                </c:pt>
                <c:pt idx="8">
                  <c:v>-0.18032786885245902</c:v>
                </c:pt>
                <c:pt idx="9">
                  <c:v>-0.14606741573033707</c:v>
                </c:pt>
                <c:pt idx="10">
                  <c:v>-6.1797752808988762E-2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513040"/>
        <c:axId val="435513432"/>
      </c:lineChart>
      <c:catAx>
        <c:axId val="43551225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512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51264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512256"/>
        <c:crosses val="autoZero"/>
        <c:crossBetween val="between"/>
      </c:valAx>
      <c:catAx>
        <c:axId val="43551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5513432"/>
        <c:crosses val="autoZero"/>
        <c:auto val="1"/>
        <c:lblAlgn val="ctr"/>
        <c:lblOffset val="100"/>
        <c:noMultiLvlLbl val="0"/>
      </c:catAx>
      <c:valAx>
        <c:axId val="4355134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5130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0.3</c:v>
                </c:pt>
                <c:pt idx="2">
                  <c:v>3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  <c:pt idx="1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123416"/>
        <c:axId val="385123808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0</c:v>
                </c:pt>
                <c:pt idx="1">
                  <c:v>2.3333333333333335</c:v>
                </c:pt>
                <c:pt idx="2">
                  <c:v>2.3333333333333335</c:v>
                </c:pt>
                <c:pt idx="3">
                  <c:v>0.1111111111111111</c:v>
                </c:pt>
                <c:pt idx="4">
                  <c:v>0.22222222222222221</c:v>
                </c:pt>
                <c:pt idx="5">
                  <c:v>-0.27272727272727271</c:v>
                </c:pt>
                <c:pt idx="6">
                  <c:v>-0.21428571428571427</c:v>
                </c:pt>
                <c:pt idx="7">
                  <c:v>-9.0909090909090912E-2</c:v>
                </c:pt>
                <c:pt idx="8">
                  <c:v>-0.25</c:v>
                </c:pt>
                <c:pt idx="9">
                  <c:v>-8.3333333333333329E-2</c:v>
                </c:pt>
                <c:pt idx="10">
                  <c:v>-0.25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125768"/>
        <c:axId val="385124200"/>
      </c:lineChart>
      <c:catAx>
        <c:axId val="38512341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512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12380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5123416"/>
        <c:crosses val="autoZero"/>
        <c:crossBetween val="between"/>
      </c:valAx>
      <c:catAx>
        <c:axId val="385125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5124200"/>
        <c:crosses val="autoZero"/>
        <c:auto val="1"/>
        <c:lblAlgn val="ctr"/>
        <c:lblOffset val="100"/>
        <c:noMultiLvlLbl val="0"/>
      </c:catAx>
      <c:valAx>
        <c:axId val="3851242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51257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123024"/>
        <c:axId val="385124984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-0.5</c:v>
                </c:pt>
                <c:pt idx="2">
                  <c:v>1.5</c:v>
                </c:pt>
                <c:pt idx="3">
                  <c:v>0.1111111111111111</c:v>
                </c:pt>
                <c:pt idx="4">
                  <c:v>0.22222222222222221</c:v>
                </c:pt>
                <c:pt idx="5">
                  <c:v>-0.27272727272727271</c:v>
                </c:pt>
                <c:pt idx="6">
                  <c:v>-0.21428571428571427</c:v>
                </c:pt>
                <c:pt idx="7">
                  <c:v>-0.16666666666666666</c:v>
                </c:pt>
                <c:pt idx="8">
                  <c:v>-0.16666666666666666</c:v>
                </c:pt>
                <c:pt idx="9">
                  <c:v>-8.3333333333333329E-2</c:v>
                </c:pt>
                <c:pt idx="10">
                  <c:v>-0.25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125376"/>
        <c:axId val="385122240"/>
      </c:lineChart>
      <c:catAx>
        <c:axId val="38512302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5124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12498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5123024"/>
        <c:crosses val="autoZero"/>
        <c:crossBetween val="between"/>
      </c:valAx>
      <c:catAx>
        <c:axId val="38512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5122240"/>
        <c:crosses val="autoZero"/>
        <c:auto val="1"/>
        <c:lblAlgn val="ctr"/>
        <c:lblOffset val="100"/>
        <c:noMultiLvlLbl val="0"/>
      </c:catAx>
      <c:valAx>
        <c:axId val="3851222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51253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0.2</c:v>
                </c:pt>
                <c:pt idx="1">
                  <c:v>15</c:v>
                </c:pt>
                <c:pt idx="2">
                  <c:v>47</c:v>
                </c:pt>
                <c:pt idx="3">
                  <c:v>81</c:v>
                </c:pt>
                <c:pt idx="4">
                  <c:v>99</c:v>
                </c:pt>
                <c:pt idx="5">
                  <c:v>115</c:v>
                </c:pt>
                <c:pt idx="6">
                  <c:v>122</c:v>
                </c:pt>
                <c:pt idx="7">
                  <c:v>112</c:v>
                </c:pt>
                <c:pt idx="8">
                  <c:v>119</c:v>
                </c:pt>
                <c:pt idx="9">
                  <c:v>118</c:v>
                </c:pt>
                <c:pt idx="10">
                  <c:v>129</c:v>
                </c:pt>
                <c:pt idx="11">
                  <c:v>142</c:v>
                </c:pt>
              </c:numCache>
            </c:numRef>
          </c:val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  <c:pt idx="3">
                  <c:v>148</c:v>
                </c:pt>
                <c:pt idx="4">
                  <c:v>127</c:v>
                </c:pt>
                <c:pt idx="5">
                  <c:v>103</c:v>
                </c:pt>
                <c:pt idx="6">
                  <c:v>121</c:v>
                </c:pt>
                <c:pt idx="7">
                  <c:v>122</c:v>
                </c:pt>
                <c:pt idx="8">
                  <c:v>110</c:v>
                </c:pt>
                <c:pt idx="9">
                  <c:v>141</c:v>
                </c:pt>
                <c:pt idx="10">
                  <c:v>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179320"/>
        <c:axId val="576178928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634</c:v>
                </c:pt>
                <c:pt idx="1">
                  <c:v>3.2</c:v>
                </c:pt>
                <c:pt idx="2">
                  <c:v>1.5106382978723405</c:v>
                </c:pt>
                <c:pt idx="3">
                  <c:v>0.8271604938271605</c:v>
                </c:pt>
                <c:pt idx="4">
                  <c:v>0.28282828282828282</c:v>
                </c:pt>
                <c:pt idx="5">
                  <c:v>-0.10434782608695652</c:v>
                </c:pt>
                <c:pt idx="6">
                  <c:v>-8.1967213114754103E-3</c:v>
                </c:pt>
                <c:pt idx="7">
                  <c:v>8.9285714285714288E-2</c:v>
                </c:pt>
                <c:pt idx="8">
                  <c:v>-7.5630252100840331E-2</c:v>
                </c:pt>
                <c:pt idx="9">
                  <c:v>0.19491525423728814</c:v>
                </c:pt>
                <c:pt idx="10">
                  <c:v>3.1007751937984496E-2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179712"/>
        <c:axId val="576176184"/>
      </c:lineChart>
      <c:catAx>
        <c:axId val="57617932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17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17892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179320"/>
        <c:crosses val="autoZero"/>
        <c:crossBetween val="between"/>
      </c:valAx>
      <c:catAx>
        <c:axId val="576179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76176184"/>
        <c:crosses val="autoZero"/>
        <c:auto val="1"/>
        <c:lblAlgn val="ctr"/>
        <c:lblOffset val="100"/>
        <c:noMultiLvlLbl val="0"/>
      </c:catAx>
      <c:valAx>
        <c:axId val="5761761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179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</c:v>
                </c:pt>
                <c:pt idx="1">
                  <c:v>21</c:v>
                </c:pt>
                <c:pt idx="2">
                  <c:v>53</c:v>
                </c:pt>
                <c:pt idx="3">
                  <c:v>83</c:v>
                </c:pt>
                <c:pt idx="4">
                  <c:v>96</c:v>
                </c:pt>
                <c:pt idx="5">
                  <c:v>114</c:v>
                </c:pt>
                <c:pt idx="6">
                  <c:v>126</c:v>
                </c:pt>
                <c:pt idx="7">
                  <c:v>117</c:v>
                </c:pt>
                <c:pt idx="8">
                  <c:v>115</c:v>
                </c:pt>
                <c:pt idx="9">
                  <c:v>124</c:v>
                </c:pt>
                <c:pt idx="10">
                  <c:v>126</c:v>
                </c:pt>
                <c:pt idx="11">
                  <c:v>136</c:v>
                </c:pt>
              </c:numCache>
            </c:numRef>
          </c:val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  <c:pt idx="3">
                  <c:v>141</c:v>
                </c:pt>
                <c:pt idx="4">
                  <c:v>132</c:v>
                </c:pt>
                <c:pt idx="5">
                  <c:v>106</c:v>
                </c:pt>
                <c:pt idx="6">
                  <c:v>125</c:v>
                </c:pt>
                <c:pt idx="7">
                  <c:v>119</c:v>
                </c:pt>
                <c:pt idx="8">
                  <c:v>115</c:v>
                </c:pt>
                <c:pt idx="9">
                  <c:v>132</c:v>
                </c:pt>
                <c:pt idx="10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177360"/>
        <c:axId val="576177752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125</c:v>
                </c:pt>
                <c:pt idx="1">
                  <c:v>1.7142857142857142</c:v>
                </c:pt>
                <c:pt idx="2">
                  <c:v>1.2264150943396226</c:v>
                </c:pt>
                <c:pt idx="3">
                  <c:v>0.6987951807228916</c:v>
                </c:pt>
                <c:pt idx="4">
                  <c:v>0.375</c:v>
                </c:pt>
                <c:pt idx="5">
                  <c:v>-7.0175438596491224E-2</c:v>
                </c:pt>
                <c:pt idx="6">
                  <c:v>-7.9365079365079361E-3</c:v>
                </c:pt>
                <c:pt idx="7">
                  <c:v>1.7094017094017096E-2</c:v>
                </c:pt>
                <c:pt idx="8">
                  <c:v>0</c:v>
                </c:pt>
                <c:pt idx="9">
                  <c:v>6.4516129032258063E-2</c:v>
                </c:pt>
                <c:pt idx="10">
                  <c:v>9.5238095238095233E-2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178144"/>
        <c:axId val="576178536"/>
      </c:lineChart>
      <c:catAx>
        <c:axId val="57617736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177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17775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177360"/>
        <c:crosses val="autoZero"/>
        <c:crossBetween val="between"/>
      </c:valAx>
      <c:catAx>
        <c:axId val="57617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76178536"/>
        <c:crosses val="autoZero"/>
        <c:auto val="1"/>
        <c:lblAlgn val="ctr"/>
        <c:lblOffset val="100"/>
        <c:noMultiLvlLbl val="0"/>
      </c:catAx>
      <c:valAx>
        <c:axId val="5761785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1781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'!$B$23:$B$26</c:f>
              <c:numCache>
                <c:formatCode>_(* #,##0_);_(* \(#,##0\);_(* "-"??_);_(@_)</c:formatCode>
                <c:ptCount val="4"/>
                <c:pt idx="0">
                  <c:v>7</c:v>
                </c:pt>
                <c:pt idx="1">
                  <c:v>35</c:v>
                </c:pt>
                <c:pt idx="2">
                  <c:v>94</c:v>
                </c:pt>
                <c:pt idx="3">
                  <c:v>181</c:v>
                </c:pt>
              </c:numCache>
            </c:numRef>
          </c:val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'!$C$23:$C$26</c:f>
              <c:numCache>
                <c:formatCode>_(* #,##0_);_(* \(#,##0\);_(* "-"??_);_(@_)</c:formatCode>
                <c:ptCount val="4"/>
                <c:pt idx="0">
                  <c:v>42</c:v>
                </c:pt>
                <c:pt idx="1">
                  <c:v>99</c:v>
                </c:pt>
                <c:pt idx="2">
                  <c:v>173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520952"/>
        <c:axId val="432518992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'!$D$23:$D$26</c:f>
              <c:numCache>
                <c:formatCode>0%</c:formatCode>
                <c:ptCount val="4"/>
                <c:pt idx="0">
                  <c:v>5</c:v>
                </c:pt>
                <c:pt idx="1">
                  <c:v>1.8285714285714285</c:v>
                </c:pt>
                <c:pt idx="2">
                  <c:v>0.84042553191489366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19776"/>
        <c:axId val="432519384"/>
      </c:lineChart>
      <c:catAx>
        <c:axId val="43252095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51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251899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520952"/>
        <c:crosses val="autoZero"/>
        <c:crossBetween val="between"/>
      </c:valAx>
      <c:catAx>
        <c:axId val="43251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2519384"/>
        <c:crosses val="autoZero"/>
        <c:auto val="1"/>
        <c:lblAlgn val="ctr"/>
        <c:lblOffset val="100"/>
        <c:noMultiLvlLbl val="0"/>
      </c:catAx>
      <c:valAx>
        <c:axId val="4325193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5197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'!$G$23:$G$26</c:f>
              <c:numCache>
                <c:formatCode>_(* #,##0_);_(* \(#,##0\);_(* "-"??_);_(@_)</c:formatCode>
                <c:ptCount val="4"/>
                <c:pt idx="0">
                  <c:v>6</c:v>
                </c:pt>
                <c:pt idx="1">
                  <c:v>33</c:v>
                </c:pt>
                <c:pt idx="2">
                  <c:v>90</c:v>
                </c:pt>
                <c:pt idx="3">
                  <c:v>178</c:v>
                </c:pt>
              </c:numCache>
            </c:numRef>
          </c:val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'!$H$23:$H$26</c:f>
              <c:numCache>
                <c:formatCode>_(* #,##0_);_(* \(#,##0\);_(* "-"??_);_(@_)</c:formatCode>
                <c:ptCount val="4"/>
                <c:pt idx="0">
                  <c:v>35</c:v>
                </c:pt>
                <c:pt idx="1">
                  <c:v>96</c:v>
                </c:pt>
                <c:pt idx="2">
                  <c:v>169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521344"/>
        <c:axId val="432517816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'!$I$23:$I$26</c:f>
              <c:numCache>
                <c:formatCode>0%</c:formatCode>
                <c:ptCount val="4"/>
                <c:pt idx="0">
                  <c:v>4.833333333333333</c:v>
                </c:pt>
                <c:pt idx="1">
                  <c:v>1.9090909090909092</c:v>
                </c:pt>
                <c:pt idx="2">
                  <c:v>0.87777777777777777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18208"/>
        <c:axId val="432518600"/>
      </c:lineChart>
      <c:catAx>
        <c:axId val="43252134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517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251781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521344"/>
        <c:crosses val="autoZero"/>
        <c:crossBetween val="between"/>
      </c:valAx>
      <c:catAx>
        <c:axId val="43251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2518600"/>
        <c:crosses val="autoZero"/>
        <c:auto val="1"/>
        <c:lblAlgn val="ctr"/>
        <c:lblOffset val="100"/>
        <c:noMultiLvlLbl val="0"/>
      </c:catAx>
      <c:valAx>
        <c:axId val="4325186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5182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'!$L$23:$L$26</c:f>
              <c:numCache>
                <c:formatCode>_(* #,##0_);_(* \(#,##0\);_(* "-"??_);_(@_)</c:formatCode>
                <c:ptCount val="4"/>
                <c:pt idx="0">
                  <c:v>22</c:v>
                </c:pt>
                <c:pt idx="1">
                  <c:v>141</c:v>
                </c:pt>
                <c:pt idx="2">
                  <c:v>296</c:v>
                </c:pt>
                <c:pt idx="3">
                  <c:v>444</c:v>
                </c:pt>
              </c:numCache>
            </c:numRef>
          </c:val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'!$M$23:$M$26</c:f>
              <c:numCache>
                <c:formatCode>_(* #,##0_);_(* \(#,##0\);_(* "-"??_);_(@_)</c:formatCode>
                <c:ptCount val="4"/>
                <c:pt idx="0">
                  <c:v>95</c:v>
                </c:pt>
                <c:pt idx="1">
                  <c:v>223</c:v>
                </c:pt>
                <c:pt idx="2">
                  <c:v>359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015632"/>
        <c:axId val="436014064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'!$N$23:$N$26</c:f>
              <c:numCache>
                <c:formatCode>0%</c:formatCode>
                <c:ptCount val="4"/>
                <c:pt idx="0">
                  <c:v>3.3181818181818183</c:v>
                </c:pt>
                <c:pt idx="1">
                  <c:v>0.58156028368794321</c:v>
                </c:pt>
                <c:pt idx="2">
                  <c:v>0.21283783783783783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14456"/>
        <c:axId val="436014848"/>
      </c:lineChart>
      <c:catAx>
        <c:axId val="43601563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01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601406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015632"/>
        <c:crosses val="autoZero"/>
        <c:crossBetween val="between"/>
      </c:valAx>
      <c:catAx>
        <c:axId val="436014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6014848"/>
        <c:crosses val="autoZero"/>
        <c:auto val="1"/>
        <c:lblAlgn val="ctr"/>
        <c:lblOffset val="100"/>
        <c:noMultiLvlLbl val="0"/>
      </c:catAx>
      <c:valAx>
        <c:axId val="4360148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0144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0"/>
  <sheetViews>
    <sheetView workbookViewId="0"/>
  </sheetViews>
  <sheetFormatPr defaultRowHeight="12.75" x14ac:dyDescent="0.2"/>
  <cols>
    <col min="2" max="2" width="11.28515625" bestFit="1" customWidth="1"/>
    <col min="3" max="3" width="11.42578125" bestFit="1" customWidth="1"/>
    <col min="4" max="4" width="14.42578125" bestFit="1" customWidth="1"/>
    <col min="7" max="7" width="11.28515625" bestFit="1" customWidth="1"/>
    <col min="8" max="8" width="11.42578125" bestFit="1" customWidth="1"/>
    <col min="9" max="9" width="14.42578125" bestFit="1" customWidth="1"/>
    <col min="12" max="12" width="11.28515625" bestFit="1" customWidth="1"/>
    <col min="13" max="13" width="11.42578125" bestFit="1" customWidth="1"/>
    <col min="14" max="14" width="14.42578125" bestFit="1" customWidth="1"/>
    <col min="17" max="18" width="11.28515625" bestFit="1" customWidth="1"/>
    <col min="19" max="19" width="14.42578125" bestFit="1" customWidth="1"/>
    <col min="22" max="23" width="10.42578125" bestFit="1" customWidth="1"/>
    <col min="24" max="24" width="14.42578125" bestFit="1" customWidth="1"/>
    <col min="27" max="28" width="10.42578125" bestFit="1" customWidth="1"/>
    <col min="29" max="29" width="14.42578125" bestFit="1" customWidth="1"/>
  </cols>
  <sheetData>
    <row r="1" spans="1:29" x14ac:dyDescent="0.2">
      <c r="A1" s="11" t="s">
        <v>36</v>
      </c>
      <c r="S1">
        <v>1000</v>
      </c>
    </row>
    <row r="2" spans="1:29" x14ac:dyDescent="0.2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x14ac:dyDescent="0.2">
      <c r="B3" s="3" t="s">
        <v>43</v>
      </c>
      <c r="C3" s="3" t="s">
        <v>44</v>
      </c>
      <c r="D3" s="3" t="s">
        <v>12</v>
      </c>
      <c r="G3" s="3" t="s">
        <v>43</v>
      </c>
      <c r="H3" s="3" t="s">
        <v>44</v>
      </c>
      <c r="I3" s="3" t="s">
        <v>12</v>
      </c>
      <c r="L3" s="3" t="s">
        <v>43</v>
      </c>
      <c r="M3" s="3" t="s">
        <v>44</v>
      </c>
      <c r="N3" s="3" t="s">
        <v>12</v>
      </c>
      <c r="Q3" s="3" t="s">
        <v>43</v>
      </c>
      <c r="R3" s="3" t="s">
        <v>44</v>
      </c>
      <c r="S3" s="3" t="s">
        <v>12</v>
      </c>
      <c r="V3" s="3" t="s">
        <v>43</v>
      </c>
      <c r="W3" s="3" t="s">
        <v>44</v>
      </c>
      <c r="X3" s="3" t="s">
        <v>12</v>
      </c>
      <c r="AA3" s="3" t="s">
        <v>43</v>
      </c>
      <c r="AB3" s="3" t="s">
        <v>44</v>
      </c>
      <c r="AC3" s="3" t="s">
        <v>12</v>
      </c>
    </row>
    <row r="4" spans="1:29" x14ac:dyDescent="0.2">
      <c r="A4" t="s">
        <v>0</v>
      </c>
      <c r="B4" s="5">
        <v>0</v>
      </c>
      <c r="C4" s="5">
        <v>167</v>
      </c>
      <c r="D4" s="4" t="e">
        <f t="shared" ref="D4:D15" si="0">(C4-B4)/B4</f>
        <v>#DIV/0!</v>
      </c>
      <c r="F4" t="s">
        <v>0</v>
      </c>
      <c r="G4" s="5">
        <v>3</v>
      </c>
      <c r="H4" s="5">
        <v>166</v>
      </c>
      <c r="I4" s="4">
        <f t="shared" ref="I4:I15" si="1">(H4-G4)/G4</f>
        <v>54.333333333333336</v>
      </c>
      <c r="K4" t="s">
        <v>0</v>
      </c>
      <c r="L4" s="5">
        <v>0</v>
      </c>
      <c r="M4" s="5">
        <v>12</v>
      </c>
      <c r="N4" s="4" t="e">
        <f t="shared" ref="N4:N15" si="2">(M4-L4)/L4</f>
        <v>#DIV/0!</v>
      </c>
      <c r="P4" t="s">
        <v>0</v>
      </c>
      <c r="Q4" s="5">
        <v>0</v>
      </c>
      <c r="R4" s="5">
        <v>12</v>
      </c>
      <c r="S4" s="4" t="e">
        <f t="shared" ref="S4:S15" si="3">(R4-Q4)/Q4</f>
        <v>#DIV/0!</v>
      </c>
      <c r="U4" t="s">
        <v>0</v>
      </c>
      <c r="V4" s="5">
        <v>0.2</v>
      </c>
      <c r="W4" s="5">
        <v>127</v>
      </c>
      <c r="X4" s="4">
        <f t="shared" ref="X4:X15" si="4">(W4-V4)/V4</f>
        <v>634</v>
      </c>
      <c r="Z4" t="s">
        <v>0</v>
      </c>
      <c r="AA4" s="5">
        <v>1</v>
      </c>
      <c r="AB4" s="5">
        <v>126</v>
      </c>
      <c r="AC4" s="4">
        <f t="shared" ref="AC4:AC15" si="5">(AB4-AA4)/AA4</f>
        <v>125</v>
      </c>
    </row>
    <row r="5" spans="1:29" x14ac:dyDescent="0.2">
      <c r="A5" t="s">
        <v>1</v>
      </c>
      <c r="B5" s="5">
        <v>14</v>
      </c>
      <c r="C5" s="5">
        <v>64</v>
      </c>
      <c r="D5" s="4">
        <f t="shared" si="0"/>
        <v>3.5714285714285716</v>
      </c>
      <c r="F5" t="s">
        <v>1</v>
      </c>
      <c r="G5" s="5">
        <v>26</v>
      </c>
      <c r="H5" s="5">
        <v>61</v>
      </c>
      <c r="I5" s="4">
        <f t="shared" si="1"/>
        <v>1.3461538461538463</v>
      </c>
      <c r="K5" t="s">
        <v>1</v>
      </c>
      <c r="L5" s="5">
        <v>0.3</v>
      </c>
      <c r="M5" s="5">
        <v>1</v>
      </c>
      <c r="N5" s="4">
        <f t="shared" si="2"/>
        <v>2.3333333333333335</v>
      </c>
      <c r="P5" t="s">
        <v>1</v>
      </c>
      <c r="Q5" s="5">
        <v>2</v>
      </c>
      <c r="R5" s="5">
        <v>1</v>
      </c>
      <c r="S5" s="4">
        <f t="shared" si="3"/>
        <v>-0.5</v>
      </c>
      <c r="U5" t="s">
        <v>1</v>
      </c>
      <c r="V5" s="5">
        <v>15</v>
      </c>
      <c r="W5" s="5">
        <v>63</v>
      </c>
      <c r="X5" s="4">
        <f t="shared" si="4"/>
        <v>3.2</v>
      </c>
      <c r="Z5" t="s">
        <v>1</v>
      </c>
      <c r="AA5" s="5">
        <v>21</v>
      </c>
      <c r="AB5" s="5">
        <v>57</v>
      </c>
      <c r="AC5" s="4">
        <f t="shared" si="5"/>
        <v>1.7142857142857142</v>
      </c>
    </row>
    <row r="6" spans="1:29" x14ac:dyDescent="0.2">
      <c r="A6" t="s">
        <v>2</v>
      </c>
      <c r="B6" s="5">
        <v>58</v>
      </c>
      <c r="C6" s="5">
        <v>168</v>
      </c>
      <c r="D6" s="4">
        <f t="shared" si="0"/>
        <v>1.896551724137931</v>
      </c>
      <c r="F6" t="s">
        <v>2</v>
      </c>
      <c r="G6" s="5">
        <v>73</v>
      </c>
      <c r="H6" s="5">
        <v>156</v>
      </c>
      <c r="I6" s="4">
        <f t="shared" si="1"/>
        <v>1.1369863013698631</v>
      </c>
      <c r="K6" t="s">
        <v>2</v>
      </c>
      <c r="L6" s="5">
        <v>3</v>
      </c>
      <c r="M6" s="5">
        <v>10</v>
      </c>
      <c r="N6" s="4">
        <f t="shared" si="2"/>
        <v>2.3333333333333335</v>
      </c>
      <c r="P6" t="s">
        <v>2</v>
      </c>
      <c r="Q6" s="5">
        <v>4</v>
      </c>
      <c r="R6" s="5">
        <v>10</v>
      </c>
      <c r="S6" s="4">
        <f t="shared" si="3"/>
        <v>1.5</v>
      </c>
      <c r="U6" t="s">
        <v>2</v>
      </c>
      <c r="V6" s="5">
        <v>47</v>
      </c>
      <c r="W6" s="5">
        <v>118</v>
      </c>
      <c r="X6" s="4">
        <f t="shared" si="4"/>
        <v>1.5106382978723405</v>
      </c>
      <c r="Z6" t="s">
        <v>2</v>
      </c>
      <c r="AA6" s="5">
        <v>53</v>
      </c>
      <c r="AB6" s="5">
        <v>118</v>
      </c>
      <c r="AC6" s="4">
        <f t="shared" si="5"/>
        <v>1.2264150943396226</v>
      </c>
    </row>
    <row r="7" spans="1:29" x14ac:dyDescent="0.2">
      <c r="A7" t="s">
        <v>3</v>
      </c>
      <c r="B7" s="7">
        <v>129</v>
      </c>
      <c r="C7" s="7">
        <v>175</v>
      </c>
      <c r="D7" s="4">
        <f t="shared" si="0"/>
        <v>0.35658914728682173</v>
      </c>
      <c r="F7" t="s">
        <v>3</v>
      </c>
      <c r="G7" s="6">
        <v>126</v>
      </c>
      <c r="H7" s="6">
        <v>165</v>
      </c>
      <c r="I7" s="4">
        <f t="shared" si="1"/>
        <v>0.30952380952380953</v>
      </c>
      <c r="K7" t="s">
        <v>3</v>
      </c>
      <c r="L7" s="5">
        <v>9</v>
      </c>
      <c r="M7" s="5">
        <v>10</v>
      </c>
      <c r="N7" s="4">
        <f t="shared" si="2"/>
        <v>0.1111111111111111</v>
      </c>
      <c r="P7" t="s">
        <v>3</v>
      </c>
      <c r="Q7" s="5">
        <v>9</v>
      </c>
      <c r="R7" s="5">
        <v>10</v>
      </c>
      <c r="S7" s="4">
        <f t="shared" si="3"/>
        <v>0.1111111111111111</v>
      </c>
      <c r="U7" t="s">
        <v>3</v>
      </c>
      <c r="V7" s="5">
        <v>81</v>
      </c>
      <c r="W7" s="5">
        <v>148</v>
      </c>
      <c r="X7" s="4">
        <f t="shared" si="4"/>
        <v>0.8271604938271605</v>
      </c>
      <c r="Z7" t="s">
        <v>3</v>
      </c>
      <c r="AA7" s="5">
        <v>83</v>
      </c>
      <c r="AB7" s="5">
        <v>141</v>
      </c>
      <c r="AC7" s="4">
        <f t="shared" si="5"/>
        <v>0.6987951807228916</v>
      </c>
    </row>
    <row r="8" spans="1:29" x14ac:dyDescent="0.2">
      <c r="A8" t="s">
        <v>4</v>
      </c>
      <c r="B8" s="5">
        <v>144</v>
      </c>
      <c r="C8" s="5">
        <v>126</v>
      </c>
      <c r="D8" s="4">
        <f t="shared" si="0"/>
        <v>-0.125</v>
      </c>
      <c r="F8" t="s">
        <v>4</v>
      </c>
      <c r="G8" s="6">
        <v>148</v>
      </c>
      <c r="H8" s="6">
        <v>141</v>
      </c>
      <c r="I8" s="4">
        <f t="shared" si="1"/>
        <v>-4.72972972972973E-2</v>
      </c>
      <c r="K8" t="s">
        <v>4</v>
      </c>
      <c r="L8" s="5">
        <v>9</v>
      </c>
      <c r="M8" s="5">
        <v>11</v>
      </c>
      <c r="N8" s="4">
        <f t="shared" si="2"/>
        <v>0.22222222222222221</v>
      </c>
      <c r="P8" t="s">
        <v>4</v>
      </c>
      <c r="Q8" s="5">
        <v>9</v>
      </c>
      <c r="R8" s="5">
        <v>11</v>
      </c>
      <c r="S8" s="4">
        <f t="shared" si="3"/>
        <v>0.22222222222222221</v>
      </c>
      <c r="U8" t="s">
        <v>4</v>
      </c>
      <c r="V8" s="5">
        <v>99</v>
      </c>
      <c r="W8" s="5">
        <v>127</v>
      </c>
      <c r="X8" s="4">
        <f t="shared" si="4"/>
        <v>0.28282828282828282</v>
      </c>
      <c r="Z8" t="s">
        <v>4</v>
      </c>
      <c r="AA8" s="5">
        <v>96</v>
      </c>
      <c r="AB8" s="5">
        <v>132</v>
      </c>
      <c r="AC8" s="4">
        <f t="shared" si="5"/>
        <v>0.375</v>
      </c>
    </row>
    <row r="9" spans="1:29" x14ac:dyDescent="0.2">
      <c r="A9" t="s">
        <v>5</v>
      </c>
      <c r="B9" s="5">
        <v>191</v>
      </c>
      <c r="C9" s="5">
        <v>87</v>
      </c>
      <c r="D9" s="4">
        <f t="shared" si="0"/>
        <v>-0.54450261780104714</v>
      </c>
      <c r="F9" t="s">
        <v>5</v>
      </c>
      <c r="G9" s="5">
        <v>186</v>
      </c>
      <c r="H9" s="5">
        <v>100</v>
      </c>
      <c r="I9" s="4">
        <f t="shared" si="1"/>
        <v>-0.46236559139784944</v>
      </c>
      <c r="K9" t="s">
        <v>5</v>
      </c>
      <c r="L9" s="5">
        <v>11</v>
      </c>
      <c r="M9" s="5">
        <v>8</v>
      </c>
      <c r="N9" s="4">
        <f t="shared" si="2"/>
        <v>-0.27272727272727271</v>
      </c>
      <c r="P9" t="s">
        <v>5</v>
      </c>
      <c r="Q9" s="5">
        <v>11</v>
      </c>
      <c r="R9" s="5">
        <v>8</v>
      </c>
      <c r="S9" s="4">
        <f t="shared" si="3"/>
        <v>-0.27272727272727271</v>
      </c>
      <c r="U9" t="s">
        <v>5</v>
      </c>
      <c r="V9" s="5">
        <v>115</v>
      </c>
      <c r="W9" s="5">
        <v>103</v>
      </c>
      <c r="X9" s="4">
        <f t="shared" si="4"/>
        <v>-0.10434782608695652</v>
      </c>
      <c r="Z9" t="s">
        <v>5</v>
      </c>
      <c r="AA9" s="5">
        <v>114</v>
      </c>
      <c r="AB9" s="5">
        <v>106</v>
      </c>
      <c r="AC9" s="4">
        <f t="shared" si="5"/>
        <v>-7.0175438596491224E-2</v>
      </c>
    </row>
    <row r="10" spans="1:29" x14ac:dyDescent="0.2">
      <c r="A10" t="s">
        <v>6</v>
      </c>
      <c r="B10" s="5">
        <v>206</v>
      </c>
      <c r="C10" s="5">
        <v>126</v>
      </c>
      <c r="D10" s="4">
        <f t="shared" si="0"/>
        <v>-0.38834951456310679</v>
      </c>
      <c r="F10" t="s">
        <v>6</v>
      </c>
      <c r="G10" s="5">
        <v>212</v>
      </c>
      <c r="H10" s="5">
        <v>130</v>
      </c>
      <c r="I10" s="4">
        <f t="shared" si="1"/>
        <v>-0.3867924528301887</v>
      </c>
      <c r="K10" t="s">
        <v>6</v>
      </c>
      <c r="L10" s="5">
        <v>14</v>
      </c>
      <c r="M10" s="5">
        <v>11</v>
      </c>
      <c r="N10" s="4">
        <f t="shared" si="2"/>
        <v>-0.21428571428571427</v>
      </c>
      <c r="P10" t="s">
        <v>6</v>
      </c>
      <c r="Q10" s="5">
        <v>14</v>
      </c>
      <c r="R10" s="5">
        <v>11</v>
      </c>
      <c r="S10" s="4">
        <f t="shared" si="3"/>
        <v>-0.21428571428571427</v>
      </c>
      <c r="U10" t="s">
        <v>6</v>
      </c>
      <c r="V10" s="5">
        <v>122</v>
      </c>
      <c r="W10" s="5">
        <v>121</v>
      </c>
      <c r="X10" s="4">
        <f t="shared" si="4"/>
        <v>-8.1967213114754103E-3</v>
      </c>
      <c r="Z10" t="s">
        <v>6</v>
      </c>
      <c r="AA10" s="5">
        <v>126</v>
      </c>
      <c r="AB10" s="5">
        <v>125</v>
      </c>
      <c r="AC10" s="4">
        <f t="shared" si="5"/>
        <v>-7.9365079365079361E-3</v>
      </c>
    </row>
    <row r="11" spans="1:29" x14ac:dyDescent="0.2">
      <c r="A11" t="s">
        <v>7</v>
      </c>
      <c r="B11" s="5">
        <v>172</v>
      </c>
      <c r="C11" s="5">
        <v>134</v>
      </c>
      <c r="D11" s="4">
        <f t="shared" si="0"/>
        <v>-0.22093023255813954</v>
      </c>
      <c r="F11" t="s">
        <v>7</v>
      </c>
      <c r="G11" s="5">
        <v>175</v>
      </c>
      <c r="H11" s="5">
        <v>131</v>
      </c>
      <c r="I11" s="4">
        <f t="shared" si="1"/>
        <v>-0.25142857142857145</v>
      </c>
      <c r="K11" t="s">
        <v>7</v>
      </c>
      <c r="L11" s="5">
        <v>11</v>
      </c>
      <c r="M11" s="5">
        <v>10</v>
      </c>
      <c r="N11" s="4">
        <f t="shared" si="2"/>
        <v>-9.0909090909090912E-2</v>
      </c>
      <c r="P11" t="s">
        <v>7</v>
      </c>
      <c r="Q11" s="5">
        <v>12</v>
      </c>
      <c r="R11" s="5">
        <v>10</v>
      </c>
      <c r="S11" s="4">
        <f t="shared" si="3"/>
        <v>-0.16666666666666666</v>
      </c>
      <c r="U11" t="s">
        <v>7</v>
      </c>
      <c r="V11" s="5">
        <v>112</v>
      </c>
      <c r="W11" s="5">
        <v>122</v>
      </c>
      <c r="X11" s="4">
        <f t="shared" si="4"/>
        <v>8.9285714285714288E-2</v>
      </c>
      <c r="Z11" t="s">
        <v>7</v>
      </c>
      <c r="AA11" s="5">
        <v>117</v>
      </c>
      <c r="AB11" s="5">
        <v>119</v>
      </c>
      <c r="AC11" s="4">
        <f t="shared" si="5"/>
        <v>1.7094017094017096E-2</v>
      </c>
    </row>
    <row r="12" spans="1:29" x14ac:dyDescent="0.2">
      <c r="A12" t="s">
        <v>8</v>
      </c>
      <c r="B12" s="5">
        <v>185</v>
      </c>
      <c r="C12" s="5">
        <v>155</v>
      </c>
      <c r="D12" s="4">
        <f t="shared" si="0"/>
        <v>-0.16216216216216217</v>
      </c>
      <c r="F12" t="s">
        <v>8</v>
      </c>
      <c r="G12" s="5">
        <v>183</v>
      </c>
      <c r="H12" s="5">
        <v>150</v>
      </c>
      <c r="I12" s="4">
        <f t="shared" si="1"/>
        <v>-0.18032786885245902</v>
      </c>
      <c r="K12" t="s">
        <v>8</v>
      </c>
      <c r="L12" s="5">
        <v>12</v>
      </c>
      <c r="M12" s="5">
        <v>9</v>
      </c>
      <c r="N12" s="4">
        <f t="shared" si="2"/>
        <v>-0.25</v>
      </c>
      <c r="P12" t="s">
        <v>8</v>
      </c>
      <c r="Q12" s="5">
        <v>12</v>
      </c>
      <c r="R12" s="5">
        <v>10</v>
      </c>
      <c r="S12" s="4">
        <f t="shared" si="3"/>
        <v>-0.16666666666666666</v>
      </c>
      <c r="U12" t="s">
        <v>8</v>
      </c>
      <c r="V12" s="5">
        <v>119</v>
      </c>
      <c r="W12" s="5">
        <v>110</v>
      </c>
      <c r="X12" s="4">
        <f t="shared" si="4"/>
        <v>-7.5630252100840331E-2</v>
      </c>
      <c r="Z12" t="s">
        <v>8</v>
      </c>
      <c r="AA12" s="5">
        <v>115</v>
      </c>
      <c r="AB12" s="5">
        <v>115</v>
      </c>
      <c r="AC12" s="4">
        <f t="shared" si="5"/>
        <v>0</v>
      </c>
    </row>
    <row r="13" spans="1:29" x14ac:dyDescent="0.2">
      <c r="A13" t="s">
        <v>9</v>
      </c>
      <c r="B13" s="5">
        <v>173</v>
      </c>
      <c r="C13" s="5">
        <v>159</v>
      </c>
      <c r="D13" s="4">
        <f t="shared" si="0"/>
        <v>-8.0924855491329481E-2</v>
      </c>
      <c r="F13" t="s">
        <v>9</v>
      </c>
      <c r="G13" s="5">
        <v>178</v>
      </c>
      <c r="H13" s="5">
        <v>152</v>
      </c>
      <c r="I13" s="4">
        <f t="shared" si="1"/>
        <v>-0.14606741573033707</v>
      </c>
      <c r="K13" t="s">
        <v>9</v>
      </c>
      <c r="L13" s="5">
        <v>12</v>
      </c>
      <c r="M13" s="5">
        <v>11</v>
      </c>
      <c r="N13" s="4">
        <f t="shared" si="2"/>
        <v>-8.3333333333333329E-2</v>
      </c>
      <c r="P13" t="s">
        <v>9</v>
      </c>
      <c r="Q13" s="5">
        <v>12</v>
      </c>
      <c r="R13" s="5">
        <v>11</v>
      </c>
      <c r="S13" s="4">
        <f t="shared" si="3"/>
        <v>-8.3333333333333329E-2</v>
      </c>
      <c r="U13" t="s">
        <v>9</v>
      </c>
      <c r="V13" s="5">
        <v>118</v>
      </c>
      <c r="W13" s="5">
        <v>141</v>
      </c>
      <c r="X13" s="4">
        <f t="shared" si="4"/>
        <v>0.19491525423728814</v>
      </c>
      <c r="Z13" t="s">
        <v>9</v>
      </c>
      <c r="AA13" s="5">
        <v>124</v>
      </c>
      <c r="AB13" s="5">
        <v>132</v>
      </c>
      <c r="AC13" s="4">
        <f t="shared" si="5"/>
        <v>6.4516129032258063E-2</v>
      </c>
    </row>
    <row r="14" spans="1:29" x14ac:dyDescent="0.2">
      <c r="A14" t="s">
        <v>10</v>
      </c>
      <c r="B14" s="5">
        <v>181</v>
      </c>
      <c r="C14" s="5">
        <v>170</v>
      </c>
      <c r="D14" s="4">
        <f t="shared" si="0"/>
        <v>-6.0773480662983423E-2</v>
      </c>
      <c r="F14" t="s">
        <v>10</v>
      </c>
      <c r="G14" s="5">
        <v>178</v>
      </c>
      <c r="H14" s="5">
        <v>167</v>
      </c>
      <c r="I14" s="4">
        <f t="shared" si="1"/>
        <v>-6.1797752808988762E-2</v>
      </c>
      <c r="K14" t="s">
        <v>10</v>
      </c>
      <c r="L14" s="5">
        <v>12</v>
      </c>
      <c r="M14" s="5">
        <v>9</v>
      </c>
      <c r="N14" s="4">
        <f t="shared" si="2"/>
        <v>-0.25</v>
      </c>
      <c r="P14" t="s">
        <v>10</v>
      </c>
      <c r="Q14" s="5">
        <v>12</v>
      </c>
      <c r="R14" s="5">
        <v>9</v>
      </c>
      <c r="S14" s="4">
        <f t="shared" si="3"/>
        <v>-0.25</v>
      </c>
      <c r="U14" t="s">
        <v>10</v>
      </c>
      <c r="V14" s="5">
        <v>129</v>
      </c>
      <c r="W14" s="5">
        <v>133</v>
      </c>
      <c r="X14" s="4">
        <f t="shared" si="4"/>
        <v>3.1007751937984496E-2</v>
      </c>
      <c r="Z14" t="s">
        <v>10</v>
      </c>
      <c r="AA14" s="5">
        <v>126</v>
      </c>
      <c r="AB14" s="5">
        <v>138</v>
      </c>
      <c r="AC14" s="4">
        <f t="shared" si="5"/>
        <v>9.5238095238095233E-2</v>
      </c>
    </row>
    <row r="15" spans="1:29" x14ac:dyDescent="0.2">
      <c r="A15" t="s">
        <v>11</v>
      </c>
      <c r="B15" s="5">
        <v>191</v>
      </c>
      <c r="C15" s="5"/>
      <c r="D15" s="4">
        <f t="shared" si="0"/>
        <v>-1</v>
      </c>
      <c r="F15" t="s">
        <v>11</v>
      </c>
      <c r="G15" s="5">
        <v>183</v>
      </c>
      <c r="H15" s="5"/>
      <c r="I15" s="4">
        <f t="shared" si="1"/>
        <v>-1</v>
      </c>
      <c r="K15" t="s">
        <v>11</v>
      </c>
      <c r="L15" s="5">
        <v>12</v>
      </c>
      <c r="M15" s="5"/>
      <c r="N15" s="4">
        <f t="shared" si="2"/>
        <v>-1</v>
      </c>
      <c r="P15" t="s">
        <v>11</v>
      </c>
      <c r="Q15" s="5">
        <v>12</v>
      </c>
      <c r="R15" s="5"/>
      <c r="S15" s="4">
        <f t="shared" si="3"/>
        <v>-1</v>
      </c>
      <c r="U15" t="s">
        <v>11</v>
      </c>
      <c r="V15" s="5">
        <v>142</v>
      </c>
      <c r="W15" s="5"/>
      <c r="X15" s="4">
        <f t="shared" si="4"/>
        <v>-1</v>
      </c>
      <c r="Z15" t="s">
        <v>11</v>
      </c>
      <c r="AA15" s="5">
        <v>136</v>
      </c>
      <c r="AB15" s="5"/>
      <c r="AC15" s="4">
        <f t="shared" si="5"/>
        <v>-1</v>
      </c>
    </row>
    <row r="18" spans="1:29" x14ac:dyDescent="0.2">
      <c r="D18" s="8"/>
      <c r="E18" s="8"/>
      <c r="H18" s="8"/>
      <c r="I18" s="8"/>
      <c r="J18" s="1"/>
    </row>
    <row r="20" spans="1:29" x14ac:dyDescent="0.2">
      <c r="A20" s="2" t="s">
        <v>35</v>
      </c>
    </row>
    <row r="21" spans="1:29" x14ac:dyDescent="0.2">
      <c r="A21" s="2" t="s">
        <v>15</v>
      </c>
      <c r="F21" s="2" t="s">
        <v>16</v>
      </c>
      <c r="K21" s="2" t="s">
        <v>17</v>
      </c>
      <c r="P21" s="2" t="s">
        <v>18</v>
      </c>
    </row>
    <row r="22" spans="1:29" x14ac:dyDescent="0.2">
      <c r="B22" s="3" t="s">
        <v>43</v>
      </c>
      <c r="C22" s="3" t="s">
        <v>44</v>
      </c>
      <c r="D22" s="3" t="s">
        <v>12</v>
      </c>
      <c r="G22" s="3" t="s">
        <v>43</v>
      </c>
      <c r="H22" s="3" t="s">
        <v>44</v>
      </c>
      <c r="I22" s="3" t="s">
        <v>12</v>
      </c>
      <c r="L22" s="3" t="s">
        <v>43</v>
      </c>
      <c r="M22" s="3" t="s">
        <v>44</v>
      </c>
      <c r="N22" s="3" t="s">
        <v>12</v>
      </c>
      <c r="Q22" s="3" t="s">
        <v>43</v>
      </c>
      <c r="R22" s="3" t="s">
        <v>44</v>
      </c>
      <c r="S22" s="3" t="s">
        <v>12</v>
      </c>
    </row>
    <row r="23" spans="1:29" x14ac:dyDescent="0.2">
      <c r="A23" t="s">
        <v>45</v>
      </c>
      <c r="B23" s="5">
        <v>7</v>
      </c>
      <c r="C23" s="5">
        <v>42</v>
      </c>
      <c r="D23" s="4">
        <f t="shared" ref="D23:D26" si="6">(C23-B23)/B23</f>
        <v>5</v>
      </c>
      <c r="F23" t="s">
        <v>45</v>
      </c>
      <c r="G23" s="5">
        <v>6</v>
      </c>
      <c r="H23" s="5">
        <v>35</v>
      </c>
      <c r="I23" s="4">
        <f t="shared" ref="I23:I26" si="7">(H23-G23)/G23</f>
        <v>4.833333333333333</v>
      </c>
      <c r="K23" t="s">
        <v>45</v>
      </c>
      <c r="L23" s="5">
        <v>22</v>
      </c>
      <c r="M23" s="5">
        <v>95</v>
      </c>
      <c r="N23" s="4">
        <f t="shared" ref="N23:N26" si="8">(M23-L23)/L23</f>
        <v>3.3181818181818183</v>
      </c>
      <c r="P23" t="s">
        <v>45</v>
      </c>
      <c r="Q23" s="5">
        <v>30</v>
      </c>
      <c r="R23" s="5">
        <v>87</v>
      </c>
      <c r="S23" s="4">
        <f t="shared" ref="S23:S26" si="9">(R23-Q23)/Q23</f>
        <v>1.9</v>
      </c>
    </row>
    <row r="24" spans="1:29" x14ac:dyDescent="0.2">
      <c r="A24" t="s">
        <v>46</v>
      </c>
      <c r="B24" s="12">
        <v>35</v>
      </c>
      <c r="C24" s="5">
        <v>99</v>
      </c>
      <c r="D24" s="4">
        <f t="shared" si="6"/>
        <v>1.8285714285714285</v>
      </c>
      <c r="F24" t="s">
        <v>46</v>
      </c>
      <c r="G24" s="5">
        <v>33</v>
      </c>
      <c r="H24" s="5">
        <v>96</v>
      </c>
      <c r="I24" s="4">
        <f t="shared" si="7"/>
        <v>1.9090909090909092</v>
      </c>
      <c r="K24" t="s">
        <v>46</v>
      </c>
      <c r="L24" s="5">
        <v>141</v>
      </c>
      <c r="M24" s="5">
        <v>223</v>
      </c>
      <c r="N24" s="4">
        <f t="shared" si="8"/>
        <v>0.58156028368794321</v>
      </c>
      <c r="P24" t="s">
        <v>46</v>
      </c>
      <c r="Q24" s="5">
        <v>146</v>
      </c>
      <c r="R24" s="5">
        <v>215</v>
      </c>
      <c r="S24" s="4">
        <f t="shared" si="9"/>
        <v>0.4726027397260274</v>
      </c>
    </row>
    <row r="25" spans="1:29" x14ac:dyDescent="0.2">
      <c r="A25" t="s">
        <v>47</v>
      </c>
      <c r="B25" s="12">
        <v>94</v>
      </c>
      <c r="C25" s="5">
        <v>173</v>
      </c>
      <c r="D25" s="4">
        <f t="shared" si="6"/>
        <v>0.84042553191489366</v>
      </c>
      <c r="F25" t="s">
        <v>47</v>
      </c>
      <c r="G25" s="5">
        <v>90</v>
      </c>
      <c r="H25" s="5">
        <v>169</v>
      </c>
      <c r="I25" s="4">
        <f t="shared" si="7"/>
        <v>0.87777777777777777</v>
      </c>
      <c r="K25" t="s">
        <v>47</v>
      </c>
      <c r="L25" s="5">
        <v>296</v>
      </c>
      <c r="M25" s="5">
        <v>359</v>
      </c>
      <c r="N25" s="4">
        <f t="shared" si="8"/>
        <v>0.21283783783783783</v>
      </c>
      <c r="P25" t="s">
        <v>47</v>
      </c>
      <c r="Q25" s="5">
        <v>299</v>
      </c>
      <c r="R25" s="5">
        <v>363</v>
      </c>
      <c r="S25" s="4">
        <f t="shared" si="9"/>
        <v>0.21404682274247491</v>
      </c>
    </row>
    <row r="26" spans="1:29" x14ac:dyDescent="0.2">
      <c r="A26" t="s">
        <v>48</v>
      </c>
      <c r="B26" s="12">
        <v>181</v>
      </c>
      <c r="C26" s="5">
        <v>0</v>
      </c>
      <c r="D26" s="4">
        <f t="shared" si="6"/>
        <v>-1</v>
      </c>
      <c r="F26" t="s">
        <v>48</v>
      </c>
      <c r="G26" s="5">
        <v>178</v>
      </c>
      <c r="H26" s="5">
        <v>0</v>
      </c>
      <c r="I26" s="4">
        <f t="shared" si="7"/>
        <v>-1</v>
      </c>
      <c r="K26" t="s">
        <v>48</v>
      </c>
      <c r="L26" s="5">
        <v>444</v>
      </c>
      <c r="M26" s="5">
        <v>0</v>
      </c>
      <c r="N26" s="4">
        <f t="shared" si="8"/>
        <v>-1</v>
      </c>
      <c r="P26" t="s">
        <v>48</v>
      </c>
      <c r="Q26" s="5">
        <v>441</v>
      </c>
      <c r="R26" s="5">
        <v>0</v>
      </c>
      <c r="S26" s="4">
        <f t="shared" si="9"/>
        <v>-1</v>
      </c>
    </row>
    <row r="27" spans="1:29" x14ac:dyDescent="0.2">
      <c r="B27" s="5"/>
      <c r="C27" s="5"/>
    </row>
    <row r="29" spans="1:29" x14ac:dyDescent="0.2">
      <c r="A29" s="2" t="s">
        <v>34</v>
      </c>
    </row>
    <row r="30" spans="1:29" x14ac:dyDescent="0.2">
      <c r="A30" s="2" t="s">
        <v>19</v>
      </c>
      <c r="F30" s="2" t="s">
        <v>20</v>
      </c>
      <c r="K30" s="2" t="s">
        <v>21</v>
      </c>
      <c r="P30" s="2" t="s">
        <v>22</v>
      </c>
      <c r="U30" s="2" t="s">
        <v>24</v>
      </c>
      <c r="Z30" s="2" t="s">
        <v>23</v>
      </c>
    </row>
    <row r="31" spans="1:29" x14ac:dyDescent="0.2">
      <c r="B31" s="3" t="s">
        <v>43</v>
      </c>
      <c r="C31" s="3" t="s">
        <v>44</v>
      </c>
      <c r="D31" s="3" t="s">
        <v>12</v>
      </c>
      <c r="G31" s="3" t="s">
        <v>43</v>
      </c>
      <c r="H31" s="3" t="s">
        <v>44</v>
      </c>
      <c r="I31" s="3" t="s">
        <v>12</v>
      </c>
      <c r="L31" s="3" t="s">
        <v>43</v>
      </c>
      <c r="M31" s="3" t="s">
        <v>44</v>
      </c>
      <c r="N31" s="3" t="s">
        <v>12</v>
      </c>
      <c r="Q31" s="3" t="s">
        <v>43</v>
      </c>
      <c r="R31" s="3" t="s">
        <v>44</v>
      </c>
      <c r="S31" s="3" t="s">
        <v>12</v>
      </c>
      <c r="V31" s="3" t="s">
        <v>43</v>
      </c>
      <c r="W31" s="3" t="s">
        <v>44</v>
      </c>
      <c r="X31" s="3" t="s">
        <v>12</v>
      </c>
      <c r="AA31" s="3" t="s">
        <v>43</v>
      </c>
      <c r="AB31" s="3" t="s">
        <v>44</v>
      </c>
      <c r="AC31" s="3" t="s">
        <v>12</v>
      </c>
    </row>
    <row r="32" spans="1:29" x14ac:dyDescent="0.2">
      <c r="A32" t="s">
        <v>0</v>
      </c>
      <c r="B32" s="5">
        <v>0</v>
      </c>
      <c r="C32" s="5">
        <v>367</v>
      </c>
      <c r="D32" s="4" t="e">
        <f t="shared" ref="D32:D43" si="10">(C32-B32)/B32</f>
        <v>#DIV/0!</v>
      </c>
      <c r="F32" t="s">
        <v>0</v>
      </c>
      <c r="G32" s="5">
        <v>2</v>
      </c>
      <c r="H32" s="5">
        <v>340</v>
      </c>
      <c r="I32" s="4">
        <f t="shared" ref="I32:I43" si="11">(H32-G32)/G32</f>
        <v>169</v>
      </c>
      <c r="K32" t="s">
        <v>0</v>
      </c>
      <c r="L32" s="5">
        <v>12</v>
      </c>
      <c r="M32" s="5">
        <v>1100</v>
      </c>
      <c r="N32" s="4">
        <f t="shared" ref="N32:N43" si="12">(M32-L32)/L32</f>
        <v>90.666666666666671</v>
      </c>
      <c r="P32" t="s">
        <v>0</v>
      </c>
      <c r="Q32" s="5">
        <v>44</v>
      </c>
      <c r="R32" s="5">
        <v>1057</v>
      </c>
      <c r="S32" s="4">
        <f t="shared" ref="S32:S43" si="13">(R32-Q32)/Q32</f>
        <v>23.022727272727273</v>
      </c>
      <c r="U32" t="s">
        <v>0</v>
      </c>
      <c r="V32" s="5">
        <v>0</v>
      </c>
      <c r="W32" s="5">
        <v>39</v>
      </c>
      <c r="X32" s="4" t="e">
        <f t="shared" ref="X32:X43" si="14">(W32-V32)/V32</f>
        <v>#DIV/0!</v>
      </c>
      <c r="Z32" t="s">
        <v>0</v>
      </c>
      <c r="AA32" s="5">
        <v>0.1</v>
      </c>
      <c r="AB32" s="5">
        <v>28</v>
      </c>
      <c r="AC32" s="4">
        <f t="shared" ref="AC32:AC43" si="15">(AB32-AA32)/AA32</f>
        <v>278.99999999999994</v>
      </c>
    </row>
    <row r="33" spans="1:29" x14ac:dyDescent="0.2">
      <c r="A33" t="s">
        <v>1</v>
      </c>
      <c r="B33" s="5">
        <v>21</v>
      </c>
      <c r="C33" s="5">
        <v>79</v>
      </c>
      <c r="D33" s="4">
        <f t="shared" si="10"/>
        <v>2.7619047619047619</v>
      </c>
      <c r="F33" t="s">
        <v>1</v>
      </c>
      <c r="G33" s="5">
        <v>72</v>
      </c>
      <c r="H33" s="5">
        <v>76</v>
      </c>
      <c r="I33" s="4">
        <f t="shared" si="11"/>
        <v>5.5555555555555552E-2</v>
      </c>
      <c r="K33" t="s">
        <v>1</v>
      </c>
      <c r="L33" s="5">
        <v>259</v>
      </c>
      <c r="M33" s="5">
        <v>547</v>
      </c>
      <c r="N33" s="4">
        <f t="shared" si="12"/>
        <v>1.111969111969112</v>
      </c>
      <c r="P33" t="s">
        <v>1</v>
      </c>
      <c r="Q33" s="5">
        <v>291</v>
      </c>
      <c r="R33" s="5">
        <v>625</v>
      </c>
      <c r="S33" s="4">
        <f t="shared" si="13"/>
        <v>1.1477663230240549</v>
      </c>
      <c r="U33" t="s">
        <v>1</v>
      </c>
      <c r="V33" s="5">
        <v>4</v>
      </c>
      <c r="W33" s="5">
        <v>5</v>
      </c>
      <c r="X33" s="4">
        <f t="shared" si="14"/>
        <v>0.25</v>
      </c>
      <c r="Z33" t="s">
        <v>1</v>
      </c>
      <c r="AA33" s="5">
        <v>13</v>
      </c>
      <c r="AB33" s="5">
        <v>10</v>
      </c>
      <c r="AC33" s="4">
        <f t="shared" si="15"/>
        <v>-0.23076923076923078</v>
      </c>
    </row>
    <row r="34" spans="1:29" x14ac:dyDescent="0.2">
      <c r="A34" t="s">
        <v>2</v>
      </c>
      <c r="B34" s="5">
        <v>137</v>
      </c>
      <c r="C34" s="5">
        <v>247</v>
      </c>
      <c r="D34" s="4">
        <f t="shared" si="10"/>
        <v>0.8029197080291971</v>
      </c>
      <c r="F34" t="s">
        <v>2</v>
      </c>
      <c r="G34" s="5">
        <v>280</v>
      </c>
      <c r="H34" s="5">
        <v>266</v>
      </c>
      <c r="I34" s="4">
        <f t="shared" si="11"/>
        <v>-0.05</v>
      </c>
      <c r="K34" t="s">
        <v>2</v>
      </c>
      <c r="L34" s="5">
        <v>776</v>
      </c>
      <c r="M34" s="5">
        <v>1077</v>
      </c>
      <c r="N34" s="4">
        <f t="shared" si="12"/>
        <v>0.38788659793814434</v>
      </c>
      <c r="P34" t="s">
        <v>2</v>
      </c>
      <c r="Q34" s="5">
        <v>890</v>
      </c>
      <c r="R34" s="5">
        <v>1099</v>
      </c>
      <c r="S34" s="4">
        <f t="shared" si="13"/>
        <v>0.23483146067415731</v>
      </c>
      <c r="U34" t="s">
        <v>2</v>
      </c>
      <c r="V34" s="5">
        <v>41</v>
      </c>
      <c r="W34" s="5">
        <v>20</v>
      </c>
      <c r="X34" s="4">
        <f t="shared" si="14"/>
        <v>-0.51219512195121952</v>
      </c>
      <c r="Z34" t="s">
        <v>2</v>
      </c>
      <c r="AA34" s="5">
        <v>41</v>
      </c>
      <c r="AB34" s="5">
        <v>37</v>
      </c>
      <c r="AC34" s="4">
        <f t="shared" si="15"/>
        <v>-9.7560975609756101E-2</v>
      </c>
    </row>
    <row r="35" spans="1:29" x14ac:dyDescent="0.2">
      <c r="A35" t="s">
        <v>3</v>
      </c>
      <c r="B35" s="5">
        <v>324</v>
      </c>
      <c r="C35" s="5">
        <v>424</v>
      </c>
      <c r="D35" s="4">
        <f t="shared" si="10"/>
        <v>0.30864197530864196</v>
      </c>
      <c r="F35" t="s">
        <v>3</v>
      </c>
      <c r="G35" s="5">
        <v>343</v>
      </c>
      <c r="H35" s="5">
        <v>400</v>
      </c>
      <c r="I35" s="4">
        <f t="shared" si="11"/>
        <v>0.16618075801749271</v>
      </c>
      <c r="K35" t="s">
        <v>3</v>
      </c>
      <c r="L35" s="5">
        <v>1081</v>
      </c>
      <c r="M35" s="5">
        <v>1223</v>
      </c>
      <c r="N35" s="4">
        <f t="shared" si="12"/>
        <v>0.13135985198889916</v>
      </c>
      <c r="P35" t="s">
        <v>3</v>
      </c>
      <c r="Q35" s="5">
        <v>1060</v>
      </c>
      <c r="R35" s="5">
        <v>1180</v>
      </c>
      <c r="S35" s="4">
        <f t="shared" si="13"/>
        <v>0.11320754716981132</v>
      </c>
      <c r="U35" t="s">
        <v>3</v>
      </c>
      <c r="V35" s="5">
        <v>59</v>
      </c>
      <c r="W35" s="5">
        <v>53</v>
      </c>
      <c r="X35" s="4">
        <f t="shared" si="14"/>
        <v>-0.10169491525423729</v>
      </c>
      <c r="Z35" t="s">
        <v>3</v>
      </c>
      <c r="AA35" s="5">
        <v>59</v>
      </c>
      <c r="AB35" s="5">
        <v>50</v>
      </c>
      <c r="AC35" s="4">
        <f t="shared" si="15"/>
        <v>-0.15254237288135594</v>
      </c>
    </row>
    <row r="36" spans="1:29" x14ac:dyDescent="0.2">
      <c r="A36" t="s">
        <v>4</v>
      </c>
      <c r="B36" s="5">
        <v>483</v>
      </c>
      <c r="C36" s="5">
        <v>490</v>
      </c>
      <c r="D36" s="4">
        <f t="shared" si="10"/>
        <v>1.4492753623188406E-2</v>
      </c>
      <c r="F36" t="s">
        <v>4</v>
      </c>
      <c r="G36" s="5">
        <v>470</v>
      </c>
      <c r="H36" s="5">
        <v>486</v>
      </c>
      <c r="I36" s="4">
        <f t="shared" si="11"/>
        <v>3.4042553191489362E-2</v>
      </c>
      <c r="K36" t="s">
        <v>4</v>
      </c>
      <c r="L36" s="5">
        <v>1305</v>
      </c>
      <c r="M36" s="5">
        <v>1112</v>
      </c>
      <c r="N36" s="4">
        <f t="shared" si="12"/>
        <v>-0.1478927203065134</v>
      </c>
      <c r="P36" t="s">
        <v>4</v>
      </c>
      <c r="Q36" s="5">
        <v>1275</v>
      </c>
      <c r="R36" s="5">
        <v>1163</v>
      </c>
      <c r="S36" s="4">
        <f t="shared" si="13"/>
        <v>-8.7843137254901962E-2</v>
      </c>
      <c r="U36" t="s">
        <v>4</v>
      </c>
      <c r="V36" s="5">
        <v>71</v>
      </c>
      <c r="W36" s="5">
        <v>58</v>
      </c>
      <c r="X36" s="4">
        <f t="shared" si="14"/>
        <v>-0.18309859154929578</v>
      </c>
      <c r="Z36" t="s">
        <v>4</v>
      </c>
      <c r="AA36" s="5">
        <v>70</v>
      </c>
      <c r="AB36" s="5">
        <v>53</v>
      </c>
      <c r="AC36" s="4">
        <f t="shared" si="15"/>
        <v>-0.24285714285714285</v>
      </c>
    </row>
    <row r="37" spans="1:29" x14ac:dyDescent="0.2">
      <c r="A37" t="s">
        <v>5</v>
      </c>
      <c r="B37" s="5">
        <v>612</v>
      </c>
      <c r="C37" s="5">
        <v>554</v>
      </c>
      <c r="D37" s="4">
        <f t="shared" si="10"/>
        <v>-9.4771241830065356E-2</v>
      </c>
      <c r="F37" t="s">
        <v>5</v>
      </c>
      <c r="G37" s="5">
        <v>586</v>
      </c>
      <c r="H37" s="5">
        <v>544</v>
      </c>
      <c r="I37" s="4">
        <f t="shared" si="11"/>
        <v>-7.1672354948805458E-2</v>
      </c>
      <c r="K37" t="s">
        <v>5</v>
      </c>
      <c r="L37" s="5">
        <v>1561</v>
      </c>
      <c r="M37" s="5">
        <v>1239</v>
      </c>
      <c r="N37" s="4">
        <f t="shared" si="12"/>
        <v>-0.20627802690582961</v>
      </c>
      <c r="P37" t="s">
        <v>5</v>
      </c>
      <c r="Q37" s="5">
        <v>1525</v>
      </c>
      <c r="R37" s="5">
        <v>1279</v>
      </c>
      <c r="S37" s="4">
        <f t="shared" si="13"/>
        <v>-0.16131147540983606</v>
      </c>
      <c r="U37" t="s">
        <v>5</v>
      </c>
      <c r="V37" s="5">
        <v>71</v>
      </c>
      <c r="W37" s="5">
        <v>65</v>
      </c>
      <c r="X37" s="4">
        <f t="shared" si="14"/>
        <v>-8.4507042253521125E-2</v>
      </c>
      <c r="Z37" t="s">
        <v>5</v>
      </c>
      <c r="AA37" s="5">
        <v>70</v>
      </c>
      <c r="AB37" s="5">
        <v>62</v>
      </c>
      <c r="AC37" s="4">
        <f t="shared" si="15"/>
        <v>-0.11428571428571428</v>
      </c>
    </row>
    <row r="38" spans="1:29" x14ac:dyDescent="0.2">
      <c r="A38" t="s">
        <v>6</v>
      </c>
      <c r="B38" s="5">
        <v>621</v>
      </c>
      <c r="C38" s="5">
        <v>469</v>
      </c>
      <c r="D38" s="4">
        <f t="shared" si="10"/>
        <v>-0.24476650563607086</v>
      </c>
      <c r="F38" t="s">
        <v>6</v>
      </c>
      <c r="G38" s="5">
        <v>628</v>
      </c>
      <c r="H38" s="5">
        <v>506</v>
      </c>
      <c r="I38" s="4">
        <f t="shared" si="11"/>
        <v>-0.19426751592356689</v>
      </c>
      <c r="K38" t="s">
        <v>6</v>
      </c>
      <c r="L38" s="5">
        <v>1715</v>
      </c>
      <c r="M38" s="5">
        <v>1349</v>
      </c>
      <c r="N38" s="4">
        <f t="shared" si="12"/>
        <v>-0.21341107871720116</v>
      </c>
      <c r="P38" t="s">
        <v>6</v>
      </c>
      <c r="Q38" s="5">
        <v>1715</v>
      </c>
      <c r="R38" s="5">
        <v>1353</v>
      </c>
      <c r="S38" s="4">
        <f t="shared" si="13"/>
        <v>-0.21107871720116619</v>
      </c>
      <c r="U38" t="s">
        <v>6</v>
      </c>
      <c r="V38" s="5">
        <v>82</v>
      </c>
      <c r="W38" s="5">
        <v>64</v>
      </c>
      <c r="X38" s="4">
        <f t="shared" si="14"/>
        <v>-0.21951219512195122</v>
      </c>
      <c r="Z38" t="s">
        <v>6</v>
      </c>
      <c r="AA38" s="5">
        <v>82</v>
      </c>
      <c r="AB38" s="5">
        <v>56</v>
      </c>
      <c r="AC38" s="4">
        <f t="shared" si="15"/>
        <v>-0.31707317073170732</v>
      </c>
    </row>
    <row r="39" spans="1:29" x14ac:dyDescent="0.2">
      <c r="A39" t="s">
        <v>7</v>
      </c>
      <c r="B39" s="5">
        <v>524</v>
      </c>
      <c r="C39" s="5">
        <v>325</v>
      </c>
      <c r="D39" s="4">
        <f t="shared" si="10"/>
        <v>-0.37977099236641221</v>
      </c>
      <c r="F39" t="s">
        <v>7</v>
      </c>
      <c r="G39" s="5">
        <v>522</v>
      </c>
      <c r="H39" s="5">
        <v>331</v>
      </c>
      <c r="I39" s="4">
        <f t="shared" si="11"/>
        <v>-0.36590038314176243</v>
      </c>
      <c r="K39" t="s">
        <v>7</v>
      </c>
      <c r="L39" s="5">
        <v>1340</v>
      </c>
      <c r="M39" s="5">
        <v>1012</v>
      </c>
      <c r="N39" s="4">
        <f t="shared" si="12"/>
        <v>-0.24477611940298508</v>
      </c>
      <c r="P39" t="s">
        <v>7</v>
      </c>
      <c r="Q39" s="5">
        <v>1334</v>
      </c>
      <c r="R39" s="5">
        <v>1032</v>
      </c>
      <c r="S39" s="4">
        <f t="shared" si="13"/>
        <v>-0.22638680659670166</v>
      </c>
      <c r="U39" t="s">
        <v>7</v>
      </c>
      <c r="V39" s="5">
        <v>73</v>
      </c>
      <c r="W39" s="5">
        <v>29</v>
      </c>
      <c r="X39" s="4">
        <f t="shared" si="14"/>
        <v>-0.60273972602739723</v>
      </c>
      <c r="Z39" t="s">
        <v>7</v>
      </c>
      <c r="AA39" s="5">
        <v>72</v>
      </c>
      <c r="AB39" s="5">
        <v>43</v>
      </c>
      <c r="AC39" s="4">
        <f t="shared" si="15"/>
        <v>-0.40277777777777779</v>
      </c>
    </row>
    <row r="40" spans="1:29" x14ac:dyDescent="0.2">
      <c r="A40" t="s">
        <v>8</v>
      </c>
      <c r="B40" s="5">
        <v>335</v>
      </c>
      <c r="C40" s="5">
        <v>243</v>
      </c>
      <c r="D40" s="4">
        <f t="shared" si="10"/>
        <v>-0.2746268656716418</v>
      </c>
      <c r="F40" t="s">
        <v>8</v>
      </c>
      <c r="G40" s="5">
        <v>350</v>
      </c>
      <c r="H40" s="5">
        <v>168</v>
      </c>
      <c r="I40" s="4">
        <f t="shared" si="11"/>
        <v>-0.52</v>
      </c>
      <c r="K40" t="s">
        <v>8</v>
      </c>
      <c r="L40" s="5">
        <v>1134</v>
      </c>
      <c r="M40" s="5">
        <v>1029</v>
      </c>
      <c r="N40" s="4">
        <f t="shared" si="12"/>
        <v>-9.2592592592592587E-2</v>
      </c>
      <c r="P40" t="s">
        <v>8</v>
      </c>
      <c r="Q40" s="5">
        <v>1083</v>
      </c>
      <c r="R40" s="5">
        <v>1069</v>
      </c>
      <c r="S40" s="4">
        <f t="shared" si="13"/>
        <v>-1.2927054478301015E-2</v>
      </c>
      <c r="U40" t="s">
        <v>8</v>
      </c>
      <c r="V40" s="5">
        <v>61</v>
      </c>
      <c r="W40" s="5">
        <v>25</v>
      </c>
      <c r="X40" s="4">
        <f t="shared" si="14"/>
        <v>-0.5901639344262295</v>
      </c>
      <c r="Z40" t="s">
        <v>8</v>
      </c>
      <c r="AA40" s="5">
        <v>61</v>
      </c>
      <c r="AB40" s="5">
        <v>34</v>
      </c>
      <c r="AC40" s="4">
        <f t="shared" si="15"/>
        <v>-0.44262295081967212</v>
      </c>
    </row>
    <row r="41" spans="1:29" x14ac:dyDescent="0.2">
      <c r="A41" t="s">
        <v>9</v>
      </c>
      <c r="B41" s="5">
        <v>486</v>
      </c>
      <c r="C41" s="5">
        <v>371</v>
      </c>
      <c r="D41" s="4">
        <f t="shared" si="10"/>
        <v>-0.23662551440329219</v>
      </c>
      <c r="F41" t="s">
        <v>9</v>
      </c>
      <c r="G41" s="5">
        <v>480</v>
      </c>
      <c r="H41" s="5">
        <v>382</v>
      </c>
      <c r="I41" s="4">
        <f t="shared" si="11"/>
        <v>-0.20416666666666666</v>
      </c>
      <c r="K41" t="s">
        <v>9</v>
      </c>
      <c r="L41" s="5">
        <v>1290</v>
      </c>
      <c r="M41" s="5">
        <v>1069</v>
      </c>
      <c r="N41" s="4">
        <f t="shared" si="12"/>
        <v>-0.17131782945736435</v>
      </c>
      <c r="P41" t="s">
        <v>9</v>
      </c>
      <c r="Q41" s="5">
        <v>1275</v>
      </c>
      <c r="R41" s="5">
        <v>1085</v>
      </c>
      <c r="S41" s="4">
        <f t="shared" si="13"/>
        <v>-0.14901960784313725</v>
      </c>
      <c r="U41" t="s">
        <v>9</v>
      </c>
      <c r="V41" s="5">
        <v>63</v>
      </c>
      <c r="W41" s="5">
        <v>42</v>
      </c>
      <c r="X41" s="4">
        <f t="shared" si="14"/>
        <v>-0.33333333333333331</v>
      </c>
      <c r="Z41" t="s">
        <v>9</v>
      </c>
      <c r="AA41" s="5">
        <v>59</v>
      </c>
      <c r="AB41" s="5">
        <v>36</v>
      </c>
      <c r="AC41" s="9">
        <f t="shared" si="15"/>
        <v>-0.38983050847457629</v>
      </c>
    </row>
    <row r="42" spans="1:29" x14ac:dyDescent="0.2">
      <c r="A42" t="s">
        <v>10</v>
      </c>
      <c r="B42" s="5">
        <v>496</v>
      </c>
      <c r="C42" s="5">
        <v>382</v>
      </c>
      <c r="D42" s="4">
        <f t="shared" si="10"/>
        <v>-0.22983870967741934</v>
      </c>
      <c r="F42" t="s">
        <v>10</v>
      </c>
      <c r="G42" s="5">
        <v>494</v>
      </c>
      <c r="H42" s="5">
        <v>369</v>
      </c>
      <c r="I42" s="4">
        <f t="shared" si="11"/>
        <v>-0.25303643724696356</v>
      </c>
      <c r="K42" t="s">
        <v>10</v>
      </c>
      <c r="L42" s="5">
        <v>1300</v>
      </c>
      <c r="M42" s="5">
        <v>998</v>
      </c>
      <c r="N42" s="4">
        <f t="shared" si="12"/>
        <v>-0.2323076923076923</v>
      </c>
      <c r="P42" t="s">
        <v>10</v>
      </c>
      <c r="Q42" s="5">
        <v>1246</v>
      </c>
      <c r="R42" s="5">
        <v>1007</v>
      </c>
      <c r="S42" s="4">
        <f t="shared" si="13"/>
        <v>-0.19181380417335472</v>
      </c>
      <c r="U42" t="s">
        <v>10</v>
      </c>
      <c r="V42" s="5">
        <v>64</v>
      </c>
      <c r="W42" s="5">
        <v>38</v>
      </c>
      <c r="X42" s="4">
        <f t="shared" si="14"/>
        <v>-0.40625</v>
      </c>
      <c r="Z42" t="s">
        <v>10</v>
      </c>
      <c r="AA42" s="5">
        <v>52</v>
      </c>
      <c r="AB42" s="5">
        <v>37</v>
      </c>
      <c r="AC42" s="9">
        <f t="shared" si="15"/>
        <v>-0.28846153846153844</v>
      </c>
    </row>
    <row r="43" spans="1:29" x14ac:dyDescent="0.2">
      <c r="A43" t="s">
        <v>11</v>
      </c>
      <c r="B43" s="5">
        <v>518</v>
      </c>
      <c r="C43" s="5"/>
      <c r="D43" s="4">
        <f t="shared" si="10"/>
        <v>-1</v>
      </c>
      <c r="F43" t="s">
        <v>11</v>
      </c>
      <c r="G43" s="5">
        <v>486</v>
      </c>
      <c r="H43" s="5"/>
      <c r="I43" s="4">
        <f t="shared" si="11"/>
        <v>-1</v>
      </c>
      <c r="K43" t="s">
        <v>11</v>
      </c>
      <c r="L43" s="5">
        <v>1381</v>
      </c>
      <c r="M43" s="5"/>
      <c r="N43" s="4">
        <f t="shared" si="12"/>
        <v>-1</v>
      </c>
      <c r="P43" t="s">
        <v>11</v>
      </c>
      <c r="Q43" s="5">
        <v>1321</v>
      </c>
      <c r="R43" s="5"/>
      <c r="S43" s="4">
        <f t="shared" si="13"/>
        <v>-1</v>
      </c>
      <c r="U43" t="s">
        <v>11</v>
      </c>
      <c r="V43" s="5">
        <v>637</v>
      </c>
      <c r="W43" s="5"/>
      <c r="X43" s="4">
        <f t="shared" si="14"/>
        <v>-1</v>
      </c>
      <c r="Z43" t="s">
        <v>11</v>
      </c>
      <c r="AA43" s="5">
        <v>651</v>
      </c>
      <c r="AB43" s="5"/>
      <c r="AC43" s="9">
        <f t="shared" si="15"/>
        <v>-1</v>
      </c>
    </row>
    <row r="46" spans="1:29" x14ac:dyDescent="0.2">
      <c r="A46" s="2" t="s">
        <v>33</v>
      </c>
    </row>
    <row r="47" spans="1:29" x14ac:dyDescent="0.2">
      <c r="A47" s="2" t="s">
        <v>25</v>
      </c>
      <c r="F47" s="2" t="s">
        <v>26</v>
      </c>
    </row>
    <row r="48" spans="1:29" x14ac:dyDescent="0.2">
      <c r="B48" s="3" t="s">
        <v>43</v>
      </c>
      <c r="C48" s="3" t="s">
        <v>44</v>
      </c>
      <c r="D48" s="3" t="s">
        <v>12</v>
      </c>
      <c r="G48" s="3" t="s">
        <v>43</v>
      </c>
      <c r="H48" s="3" t="s">
        <v>44</v>
      </c>
      <c r="I48" s="3" t="s">
        <v>12</v>
      </c>
    </row>
    <row r="49" spans="1:9" x14ac:dyDescent="0.2">
      <c r="A49" t="s">
        <v>0</v>
      </c>
      <c r="B49" s="5">
        <v>12</v>
      </c>
      <c r="C49" s="5">
        <v>1506</v>
      </c>
      <c r="D49" s="4">
        <f t="shared" ref="D49:D60" si="16">(C49-B49)/B49</f>
        <v>124.5</v>
      </c>
      <c r="F49" t="s">
        <v>0</v>
      </c>
      <c r="G49" s="5">
        <v>46</v>
      </c>
      <c r="H49" s="5">
        <v>1426</v>
      </c>
      <c r="I49" s="4">
        <f t="shared" ref="I49:I60" si="17">(H49-G49)/G49</f>
        <v>30</v>
      </c>
    </row>
    <row r="50" spans="1:9" x14ac:dyDescent="0.2">
      <c r="A50" t="s">
        <v>1</v>
      </c>
      <c r="B50" s="5">
        <v>26</v>
      </c>
      <c r="C50" s="5">
        <v>47</v>
      </c>
      <c r="D50" s="4">
        <f t="shared" si="16"/>
        <v>0.80769230769230771</v>
      </c>
      <c r="F50" t="s">
        <v>1</v>
      </c>
      <c r="G50" s="5">
        <v>20</v>
      </c>
      <c r="H50" s="5">
        <v>46</v>
      </c>
      <c r="I50" s="4">
        <f t="shared" si="17"/>
        <v>1.3</v>
      </c>
    </row>
    <row r="51" spans="1:9" x14ac:dyDescent="0.2">
      <c r="A51" t="s">
        <v>2</v>
      </c>
      <c r="B51" s="5">
        <v>33</v>
      </c>
      <c r="C51" s="5">
        <v>52</v>
      </c>
      <c r="D51" s="4">
        <f t="shared" si="16"/>
        <v>0.5757575757575758</v>
      </c>
      <c r="F51" t="s">
        <v>2</v>
      </c>
      <c r="G51" s="5">
        <v>36</v>
      </c>
      <c r="H51" s="5">
        <v>56</v>
      </c>
      <c r="I51" s="4">
        <f t="shared" si="17"/>
        <v>0.55555555555555558</v>
      </c>
    </row>
    <row r="52" spans="1:9" x14ac:dyDescent="0.2">
      <c r="A52" t="s">
        <v>3</v>
      </c>
      <c r="B52" s="5">
        <v>33</v>
      </c>
      <c r="C52" s="5">
        <v>63</v>
      </c>
      <c r="D52" s="4">
        <f t="shared" si="16"/>
        <v>0.90909090909090906</v>
      </c>
      <c r="F52" t="s">
        <v>3</v>
      </c>
      <c r="G52" s="5">
        <v>33</v>
      </c>
      <c r="H52" s="5">
        <v>63</v>
      </c>
      <c r="I52" s="4">
        <f t="shared" si="17"/>
        <v>0.90909090909090906</v>
      </c>
    </row>
    <row r="53" spans="1:9" x14ac:dyDescent="0.2">
      <c r="A53" t="s">
        <v>4</v>
      </c>
      <c r="B53" s="5">
        <v>52</v>
      </c>
      <c r="C53" s="5">
        <v>60</v>
      </c>
      <c r="D53" s="4">
        <f t="shared" si="16"/>
        <v>0.15384615384615385</v>
      </c>
      <c r="F53" t="s">
        <v>4</v>
      </c>
      <c r="G53" s="5">
        <v>54</v>
      </c>
      <c r="H53" s="5">
        <v>60</v>
      </c>
      <c r="I53" s="4">
        <f t="shared" si="17"/>
        <v>0.1111111111111111</v>
      </c>
    </row>
    <row r="54" spans="1:9" x14ac:dyDescent="0.2">
      <c r="A54" t="s">
        <v>5</v>
      </c>
      <c r="B54" s="5">
        <v>59</v>
      </c>
      <c r="C54" s="5">
        <v>67</v>
      </c>
      <c r="D54" s="4">
        <f t="shared" si="16"/>
        <v>0.13559322033898305</v>
      </c>
      <c r="F54" t="s">
        <v>5</v>
      </c>
      <c r="G54" s="5">
        <v>62</v>
      </c>
      <c r="H54" s="5">
        <v>68</v>
      </c>
      <c r="I54" s="4">
        <f t="shared" si="17"/>
        <v>9.6774193548387094E-2</v>
      </c>
    </row>
    <row r="55" spans="1:9" x14ac:dyDescent="0.2">
      <c r="A55" t="s">
        <v>6</v>
      </c>
      <c r="B55" s="5">
        <v>71</v>
      </c>
      <c r="C55" s="5">
        <v>73</v>
      </c>
      <c r="D55" s="4">
        <f t="shared" si="16"/>
        <v>2.8169014084507043E-2</v>
      </c>
      <c r="F55" t="s">
        <v>6</v>
      </c>
      <c r="G55" s="5">
        <v>69</v>
      </c>
      <c r="H55" s="5">
        <v>74</v>
      </c>
      <c r="I55" s="4">
        <f t="shared" si="17"/>
        <v>7.2463768115942032E-2</v>
      </c>
    </row>
    <row r="56" spans="1:9" x14ac:dyDescent="0.2">
      <c r="A56" t="s">
        <v>7</v>
      </c>
      <c r="B56" s="5">
        <v>65</v>
      </c>
      <c r="C56" s="5">
        <v>61</v>
      </c>
      <c r="D56" s="4">
        <f t="shared" si="16"/>
        <v>-6.1538461538461542E-2</v>
      </c>
      <c r="F56" t="s">
        <v>7</v>
      </c>
      <c r="G56" s="5">
        <v>61</v>
      </c>
      <c r="H56" s="5">
        <v>65</v>
      </c>
      <c r="I56" s="4">
        <f t="shared" si="17"/>
        <v>6.5573770491803282E-2</v>
      </c>
    </row>
    <row r="57" spans="1:9" x14ac:dyDescent="0.2">
      <c r="A57" t="s">
        <v>8</v>
      </c>
      <c r="B57" s="5">
        <v>63</v>
      </c>
      <c r="C57" s="5">
        <v>67</v>
      </c>
      <c r="D57" s="4">
        <f t="shared" si="16"/>
        <v>6.3492063492063489E-2</v>
      </c>
      <c r="F57" t="s">
        <v>8</v>
      </c>
      <c r="G57" s="5">
        <v>61</v>
      </c>
      <c r="H57" s="5">
        <v>71</v>
      </c>
      <c r="I57" s="4">
        <f t="shared" si="17"/>
        <v>0.16393442622950818</v>
      </c>
    </row>
    <row r="58" spans="1:9" x14ac:dyDescent="0.2">
      <c r="A58" t="s">
        <v>9</v>
      </c>
      <c r="B58" s="5">
        <v>63</v>
      </c>
      <c r="C58" s="5">
        <v>68</v>
      </c>
      <c r="D58" s="4">
        <f t="shared" si="16"/>
        <v>7.9365079365079361E-2</v>
      </c>
      <c r="F58" t="s">
        <v>9</v>
      </c>
      <c r="G58" s="5">
        <v>67</v>
      </c>
      <c r="H58" s="5">
        <v>63</v>
      </c>
      <c r="I58" s="4">
        <f t="shared" si="17"/>
        <v>-5.9701492537313432E-2</v>
      </c>
    </row>
    <row r="59" spans="1:9" x14ac:dyDescent="0.2">
      <c r="A59" t="s">
        <v>10</v>
      </c>
      <c r="B59" s="5">
        <v>70</v>
      </c>
      <c r="C59" s="5">
        <v>64</v>
      </c>
      <c r="D59" s="4">
        <f t="shared" si="16"/>
        <v>-8.5714285714285715E-2</v>
      </c>
      <c r="F59" t="s">
        <v>10</v>
      </c>
      <c r="G59" s="5">
        <v>69</v>
      </c>
      <c r="H59" s="5">
        <v>63</v>
      </c>
      <c r="I59" s="4">
        <f t="shared" si="17"/>
        <v>-8.6956521739130432E-2</v>
      </c>
    </row>
    <row r="60" spans="1:9" x14ac:dyDescent="0.2">
      <c r="A60" t="s">
        <v>11</v>
      </c>
      <c r="B60" s="5">
        <v>74</v>
      </c>
      <c r="C60" s="5"/>
      <c r="D60" s="4">
        <f t="shared" si="16"/>
        <v>-1</v>
      </c>
      <c r="F60" t="s">
        <v>11</v>
      </c>
      <c r="G60" s="5">
        <v>72</v>
      </c>
      <c r="H60" s="5"/>
      <c r="I60" s="4">
        <f t="shared" si="17"/>
        <v>-1</v>
      </c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tabSelected="1" zoomScale="60" workbookViewId="0"/>
  </sheetViews>
  <sheetFormatPr defaultRowHeight="12.75" x14ac:dyDescent="0.2"/>
  <sheetData>
    <row r="2" spans="2:31" ht="18" x14ac:dyDescent="0.25">
      <c r="B2" s="13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1" spans="2:2" x14ac:dyDescent="0.2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61" spans="2:2" x14ac:dyDescent="0.2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3" spans="2:2" x14ac:dyDescent="0.2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29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0" spans="2:2" x14ac:dyDescent="0.2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75" x14ac:dyDescent="0.2"/>
  <sheetData>
    <row r="1" spans="1:256" x14ac:dyDescent="0.2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 t="str">
        <f>IF('Data '!14:14,"AAAAAHa7/wg=",0)</f>
        <v>AAAAAHa7/wg=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 t="e">
        <f>IF('Data '!#REF!,"AAAAAH//9xA=",0)</f>
        <v>#REF!</v>
      </c>
      <c r="R5" t="e">
        <f>AND('Data '!#REF!,"AAAAAH//9xE=")</f>
        <v>#REF!</v>
      </c>
      <c r="S5" t="e">
        <f>AND('Data '!#REF!,"AAAAAH//9xI=")</f>
        <v>#REF!</v>
      </c>
      <c r="T5" t="e">
        <f>AND('Data '!#REF!,"AAAAAH//9xM=")</f>
        <v>#REF!</v>
      </c>
      <c r="U5" t="e">
        <f>AND('Data '!#REF!,"AAAAAH//9xQ=")</f>
        <v>#REF!</v>
      </c>
      <c r="V5" t="e">
        <f>AND('Data '!#REF!,"AAAAAH//9xU=")</f>
        <v>#REF!</v>
      </c>
      <c r="W5" t="e">
        <f>AND('Data '!#REF!,"AAAAAH//9xY=")</f>
        <v>#REF!</v>
      </c>
      <c r="X5" t="e">
        <f>AND('Data '!#REF!,"AAAAAH//9xc=")</f>
        <v>#REF!</v>
      </c>
      <c r="Y5" t="e">
        <f>AND('Data '!#REF!,"AAAAAH//9xg=")</f>
        <v>#REF!</v>
      </c>
      <c r="Z5" t="e">
        <f>AND('Data '!#REF!,"AAAAAH//9xk=")</f>
        <v>#REF!</v>
      </c>
      <c r="AA5" t="e">
        <f>AND('Data '!#REF!,"AAAAAH//9xo=")</f>
        <v>#REF!</v>
      </c>
      <c r="AB5" t="e">
        <f>AND('Data '!#REF!,"AAAAAH//9xs=")</f>
        <v>#REF!</v>
      </c>
      <c r="AC5" t="e">
        <f>AND('Data '!#REF!,"AAAAAH//9xw=")</f>
        <v>#REF!</v>
      </c>
      <c r="AD5" t="e">
        <f>AND('Data '!#REF!,"AAAAAH//9x0=")</f>
        <v>#REF!</v>
      </c>
      <c r="AE5" t="e">
        <f>AND('Data '!#REF!,"AAAAAH//9x4=")</f>
        <v>#REF!</v>
      </c>
      <c r="AF5" t="e">
        <f>AND('Data '!#REF!,"AAAAAH//9x8=")</f>
        <v>#REF!</v>
      </c>
      <c r="AG5" t="e">
        <f>AND('Data '!#REF!,"AAAAAH//9yA=")</f>
        <v>#REF!</v>
      </c>
      <c r="AH5" t="e">
        <f>AND('Data '!#REF!,"AAAAAH//9yE=")</f>
        <v>#REF!</v>
      </c>
      <c r="AI5" t="e">
        <f>AND('Data '!#REF!,"AAAAAH//9yI=")</f>
        <v>#REF!</v>
      </c>
      <c r="AJ5" t="e">
        <f>AND('Data '!#REF!,"AAAAAH//9yM=")</f>
        <v>#REF!</v>
      </c>
      <c r="AK5" t="e">
        <f>AND('Data '!#REF!,"AAAAAH//9yQ=")</f>
        <v>#REF!</v>
      </c>
      <c r="AL5" t="e">
        <f>AND('Data '!#REF!,"AAAAAH//9yU=")</f>
        <v>#REF!</v>
      </c>
      <c r="AM5" t="e">
        <f>AND('Data '!#REF!,"AAAAAH//9yY=")</f>
        <v>#REF!</v>
      </c>
      <c r="AN5" t="e">
        <f>AND('Data '!#REF!,"AAAAAH//9yc=")</f>
        <v>#REF!</v>
      </c>
      <c r="AO5" t="e">
        <f>AND('Data '!#REF!,"AAAAAH//9yg=")</f>
        <v>#REF!</v>
      </c>
      <c r="AP5" t="e">
        <f>AND('Data '!#REF!,"AAAAAH//9yk=")</f>
        <v>#REF!</v>
      </c>
      <c r="AQ5" t="e">
        <f>AND('Data '!#REF!,"AAAAAH//9yo=")</f>
        <v>#REF!</v>
      </c>
      <c r="AR5" t="e">
        <f>AND('Data '!#REF!,"AAAAAH//9ys=")</f>
        <v>#REF!</v>
      </c>
      <c r="AS5" t="e">
        <f>AND('Data '!#REF!,"AAAAAH//9yw=")</f>
        <v>#REF!</v>
      </c>
      <c r="AT5" t="e">
        <f>AND('Data '!#REF!,"AAAAAH//9y0=")</f>
        <v>#REF!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 t="e">
        <f>IF('Data '!#REF!,"AAAAAH//9zg=",0)</f>
        <v>#REF!</v>
      </c>
      <c r="BF5" t="e">
        <f>AND('Data '!#REF!,"AAAAAH//9zk=")</f>
        <v>#REF!</v>
      </c>
      <c r="BG5" t="e">
        <f>AND('Data '!#REF!,"AAAAAH//9zo=")</f>
        <v>#REF!</v>
      </c>
      <c r="BH5" t="e">
        <f>AND('Data '!#REF!,"AAAAAH//9zs=")</f>
        <v>#REF!</v>
      </c>
      <c r="BI5" t="e">
        <f>AND('Data '!#REF!,"AAAAAH//9zw=")</f>
        <v>#REF!</v>
      </c>
      <c r="BJ5" t="e">
        <f>AND('Data '!#REF!,"AAAAAH//9z0=")</f>
        <v>#REF!</v>
      </c>
      <c r="BK5" t="e">
        <f>AND('Data '!#REF!,"AAAAAH//9z4=")</f>
        <v>#REF!</v>
      </c>
      <c r="BL5" t="e">
        <f>AND('Data '!#REF!,"AAAAAH//9z8=")</f>
        <v>#REF!</v>
      </c>
      <c r="BM5" t="e">
        <f>AND('Data '!#REF!,"AAAAAH//90A=")</f>
        <v>#REF!</v>
      </c>
      <c r="BN5" t="e">
        <f>AND('Data '!#REF!,"AAAAAH//90E=")</f>
        <v>#REF!</v>
      </c>
      <c r="BO5" t="e">
        <f>AND('Data '!#REF!,"AAAAAH//90I=")</f>
        <v>#REF!</v>
      </c>
      <c r="BP5" t="e">
        <f>AND('Data '!#REF!,"AAAAAH//90M=")</f>
        <v>#REF!</v>
      </c>
      <c r="BQ5" t="e">
        <f>AND('Data '!#REF!,"AAAAAH//90Q=")</f>
        <v>#REF!</v>
      </c>
      <c r="BR5" t="e">
        <f>AND('Data '!#REF!,"AAAAAH//90U=")</f>
        <v>#REF!</v>
      </c>
      <c r="BS5" t="e">
        <f>AND('Data '!#REF!,"AAAAAH//90Y=")</f>
        <v>#REF!</v>
      </c>
      <c r="BT5" t="e">
        <f>AND('Data '!#REF!,"AAAAAH//90c=")</f>
        <v>#REF!</v>
      </c>
      <c r="BU5" t="e">
        <f>AND('Data '!#REF!,"AAAAAH//90g=")</f>
        <v>#REF!</v>
      </c>
      <c r="BV5" t="e">
        <f>AND('Data '!#REF!,"AAAAAH//90k=")</f>
        <v>#REF!</v>
      </c>
      <c r="BW5" t="e">
        <f>AND('Data '!#REF!,"AAAAAH//90o=")</f>
        <v>#REF!</v>
      </c>
      <c r="BX5" t="e">
        <f>AND('Data '!#REF!,"AAAAAH//90s=")</f>
        <v>#REF!</v>
      </c>
      <c r="BY5" t="e">
        <f>AND('Data '!#REF!,"AAAAAH//90w=")</f>
        <v>#REF!</v>
      </c>
      <c r="BZ5" t="e">
        <f>AND('Data '!#REF!,"AAAAAH//900=")</f>
        <v>#REF!</v>
      </c>
      <c r="CA5" t="e">
        <f>AND('Data '!#REF!,"AAAAAH//904=")</f>
        <v>#REF!</v>
      </c>
      <c r="CB5" t="e">
        <f>AND('Data '!#REF!,"AAAAAH//908=")</f>
        <v>#REF!</v>
      </c>
      <c r="CC5" t="e">
        <f>AND('Data '!#REF!,"AAAAAH//91A=")</f>
        <v>#REF!</v>
      </c>
      <c r="CD5" t="e">
        <f>AND('Data '!#REF!,"AAAAAH//91E=")</f>
        <v>#REF!</v>
      </c>
      <c r="CE5" t="e">
        <f>AND('Data '!#REF!,"AAAAAH//91I=")</f>
        <v>#REF!</v>
      </c>
      <c r="CF5" t="e">
        <f>AND('Data '!#REF!,"AAAAAH//91M=")</f>
        <v>#REF!</v>
      </c>
      <c r="CG5" t="e">
        <f>AND('Data '!#REF!,"AAAAAH//91Q=")</f>
        <v>#REF!</v>
      </c>
      <c r="CH5" t="e">
        <f>AND('Data '!#REF!,"AAAAAH//91U=")</f>
        <v>#REF!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 t="e">
        <f>IF('Data '!#REF!,"AAAAAH//92A=",0)</f>
        <v>#REF!</v>
      </c>
      <c r="CT5" t="e">
        <f>AND('Data '!#REF!,"AAAAAH//92E=")</f>
        <v>#REF!</v>
      </c>
      <c r="CU5" t="e">
        <f>AND('Data '!#REF!,"AAAAAH//92I=")</f>
        <v>#REF!</v>
      </c>
      <c r="CV5" t="e">
        <f>AND('Data '!#REF!,"AAAAAH//92M=")</f>
        <v>#REF!</v>
      </c>
      <c r="CW5" t="e">
        <f>AND('Data '!#REF!,"AAAAAH//92Q=")</f>
        <v>#REF!</v>
      </c>
      <c r="CX5" t="e">
        <f>AND('Data '!#REF!,"AAAAAH//92U=")</f>
        <v>#REF!</v>
      </c>
      <c r="CY5" t="e">
        <f>AND('Data '!#REF!,"AAAAAH//92Y=")</f>
        <v>#REF!</v>
      </c>
      <c r="CZ5" t="e">
        <f>AND('Data '!#REF!,"AAAAAH//92c=")</f>
        <v>#REF!</v>
      </c>
      <c r="DA5" t="e">
        <f>AND('Data '!#REF!,"AAAAAH//92g=")</f>
        <v>#REF!</v>
      </c>
      <c r="DB5" t="e">
        <f>AND('Data '!#REF!,"AAAAAH//92k=")</f>
        <v>#REF!</v>
      </c>
      <c r="DC5" t="e">
        <f>AND('Data '!#REF!,"AAAAAH//92o=")</f>
        <v>#REF!</v>
      </c>
      <c r="DD5" t="e">
        <f>AND('Data '!#REF!,"AAAAAH//92s=")</f>
        <v>#REF!</v>
      </c>
      <c r="DE5" t="e">
        <f>AND('Data '!#REF!,"AAAAAH//92w=")</f>
        <v>#REF!</v>
      </c>
      <c r="DF5" t="e">
        <f>AND('Data '!#REF!,"AAAAAH//920=")</f>
        <v>#REF!</v>
      </c>
      <c r="DG5" t="e">
        <f>AND('Data '!#REF!,"AAAAAH//924=")</f>
        <v>#REF!</v>
      </c>
      <c r="DH5" t="e">
        <f>AND('Data '!#REF!,"AAAAAH//928=")</f>
        <v>#REF!</v>
      </c>
      <c r="DI5" t="e">
        <f>AND('Data '!#REF!,"AAAAAH//93A=")</f>
        <v>#REF!</v>
      </c>
      <c r="DJ5" t="e">
        <f>AND('Data '!#REF!,"AAAAAH//93E=")</f>
        <v>#REF!</v>
      </c>
      <c r="DK5" t="e">
        <f>AND('Data '!#REF!,"AAAAAH//93I=")</f>
        <v>#REF!</v>
      </c>
      <c r="DL5" t="e">
        <f>AND('Data '!#REF!,"AAAAAH//93M=")</f>
        <v>#REF!</v>
      </c>
      <c r="DM5" t="e">
        <f>AND('Data '!#REF!,"AAAAAH//93Q=")</f>
        <v>#REF!</v>
      </c>
      <c r="DN5" t="e">
        <f>AND('Data '!#REF!,"AAAAAH//93U=")</f>
        <v>#REF!</v>
      </c>
      <c r="DO5" t="e">
        <f>AND('Data '!#REF!,"AAAAAH//93Y=")</f>
        <v>#REF!</v>
      </c>
      <c r="DP5" t="e">
        <f>AND('Data '!#REF!,"AAAAAH//93c=")</f>
        <v>#REF!</v>
      </c>
      <c r="DQ5" t="e">
        <f>AND('Data '!#REF!,"AAAAAH//93g=")</f>
        <v>#REF!</v>
      </c>
      <c r="DR5" t="e">
        <f>AND('Data '!#REF!,"AAAAAH//93k=")</f>
        <v>#REF!</v>
      </c>
      <c r="DS5" t="e">
        <f>AND('Data '!#REF!,"AAAAAH//93o=")</f>
        <v>#REF!</v>
      </c>
      <c r="DT5" t="e">
        <f>AND('Data '!#REF!,"AAAAAH//93s=")</f>
        <v>#REF!</v>
      </c>
      <c r="DU5" t="e">
        <f>AND('Data '!#REF!,"AAAAAH//93w=")</f>
        <v>#REF!</v>
      </c>
      <c r="DV5" t="e">
        <f>AND('Data '!#REF!,"AAAAAH//930=")</f>
        <v>#REF!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 t="e">
        <f>IF('Data '!#REF!,"AAAAAH//94g=",0)</f>
        <v>#REF!</v>
      </c>
      <c r="EH5" t="e">
        <f>AND('Data '!#REF!,"AAAAAH//94k=")</f>
        <v>#REF!</v>
      </c>
      <c r="EI5" t="e">
        <f>AND('Data '!#REF!,"AAAAAH//94o=")</f>
        <v>#REF!</v>
      </c>
      <c r="EJ5" t="e">
        <f>AND('Data '!#REF!,"AAAAAH//94s=")</f>
        <v>#REF!</v>
      </c>
      <c r="EK5" t="e">
        <f>AND('Data '!#REF!,"AAAAAH//94w=")</f>
        <v>#REF!</v>
      </c>
      <c r="EL5" t="e">
        <f>AND('Data '!#REF!,"AAAAAH//940=")</f>
        <v>#REF!</v>
      </c>
      <c r="EM5" t="e">
        <f>AND('Data '!#REF!,"AAAAAH//944=")</f>
        <v>#REF!</v>
      </c>
      <c r="EN5" t="e">
        <f>AND('Data '!#REF!,"AAAAAH//948=")</f>
        <v>#REF!</v>
      </c>
      <c r="EO5" t="e">
        <f>AND('Data '!#REF!,"AAAAAH//95A=")</f>
        <v>#REF!</v>
      </c>
      <c r="EP5" t="e">
        <f>AND('Data '!#REF!,"AAAAAH//95E=")</f>
        <v>#REF!</v>
      </c>
      <c r="EQ5" t="e">
        <f>AND('Data '!#REF!,"AAAAAH//95I=")</f>
        <v>#REF!</v>
      </c>
      <c r="ER5" t="e">
        <f>AND('Data '!#REF!,"AAAAAH//95M=")</f>
        <v>#REF!</v>
      </c>
      <c r="ES5" t="e">
        <f>AND('Data '!#REF!,"AAAAAH//95Q=")</f>
        <v>#REF!</v>
      </c>
      <c r="ET5" t="e">
        <f>AND('Data '!#REF!,"AAAAAH//95U=")</f>
        <v>#REF!</v>
      </c>
      <c r="EU5" t="e">
        <f>AND('Data '!#REF!,"AAAAAH//95Y=")</f>
        <v>#REF!</v>
      </c>
      <c r="EV5" t="e">
        <f>AND('Data '!#REF!,"AAAAAH//95c=")</f>
        <v>#REF!</v>
      </c>
      <c r="EW5" t="e">
        <f>AND('Data '!#REF!,"AAAAAH//95g=")</f>
        <v>#REF!</v>
      </c>
      <c r="EX5" t="e">
        <f>AND('Data '!#REF!,"AAAAAH//95k=")</f>
        <v>#REF!</v>
      </c>
      <c r="EY5" t="e">
        <f>AND('Data '!#REF!,"AAAAAH//95o=")</f>
        <v>#REF!</v>
      </c>
      <c r="EZ5" t="e">
        <f>AND('Data '!#REF!,"AAAAAH//95s=")</f>
        <v>#REF!</v>
      </c>
      <c r="FA5" t="e">
        <f>AND('Data '!#REF!,"AAAAAH//95w=")</f>
        <v>#REF!</v>
      </c>
      <c r="FB5" t="e">
        <f>AND('Data '!#REF!,"AAAAAH//950=")</f>
        <v>#REF!</v>
      </c>
      <c r="FC5" t="e">
        <f>AND('Data '!#REF!,"AAAAAH//954=")</f>
        <v>#REF!</v>
      </c>
      <c r="FD5" t="e">
        <f>AND('Data '!#REF!,"AAAAAH//958=")</f>
        <v>#REF!</v>
      </c>
      <c r="FE5" t="e">
        <f>AND('Data '!#REF!,"AAAAAH//96A=")</f>
        <v>#REF!</v>
      </c>
      <c r="FF5" t="e">
        <f>AND('Data '!#REF!,"AAAAAH//96E=")</f>
        <v>#REF!</v>
      </c>
      <c r="FG5" t="e">
        <f>AND('Data '!#REF!,"AAAAAH//96I=")</f>
        <v>#REF!</v>
      </c>
      <c r="FH5" t="e">
        <f>AND('Data '!#REF!,"AAAAAH//96M=")</f>
        <v>#REF!</v>
      </c>
      <c r="FI5" t="e">
        <f>AND('Data '!#REF!,"AAAAAH//96Q=")</f>
        <v>#REF!</v>
      </c>
      <c r="FJ5" t="e">
        <f>AND('Data '!#REF!,"AAAAAH//96U=")</f>
        <v>#REF!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 t="e">
        <f>IF('Data '!#REF!,"AAAAAH//97A=",0)</f>
        <v>#REF!</v>
      </c>
      <c r="FV5" t="e">
        <f>AND('Data '!#REF!,"AAAAAH//97E=")</f>
        <v>#REF!</v>
      </c>
      <c r="FW5" t="e">
        <f>AND('Data '!#REF!,"AAAAAH//97I=")</f>
        <v>#REF!</v>
      </c>
      <c r="FX5" t="e">
        <f>AND('Data '!#REF!,"AAAAAH//97M=")</f>
        <v>#REF!</v>
      </c>
      <c r="FY5" t="e">
        <f>AND('Data '!#REF!,"AAAAAH//97Q=")</f>
        <v>#REF!</v>
      </c>
      <c r="FZ5" t="e">
        <f>AND('Data '!#REF!,"AAAAAH//97U=")</f>
        <v>#REF!</v>
      </c>
      <c r="GA5" t="e">
        <f>AND('Data '!#REF!,"AAAAAH//97Y=")</f>
        <v>#REF!</v>
      </c>
      <c r="GB5" t="e">
        <f>AND('Data '!#REF!,"AAAAAH//97c=")</f>
        <v>#REF!</v>
      </c>
      <c r="GC5" t="e">
        <f>AND('Data '!#REF!,"AAAAAH//97g=")</f>
        <v>#REF!</v>
      </c>
      <c r="GD5" t="e">
        <f>AND('Data '!#REF!,"AAAAAH//97k=")</f>
        <v>#REF!</v>
      </c>
      <c r="GE5" t="e">
        <f>AND('Data '!#REF!,"AAAAAH//97o=")</f>
        <v>#REF!</v>
      </c>
      <c r="GF5" t="e">
        <f>AND('Data '!#REF!,"AAAAAH//97s=")</f>
        <v>#REF!</v>
      </c>
      <c r="GG5" t="e">
        <f>AND('Data '!#REF!,"AAAAAH//97w=")</f>
        <v>#REF!</v>
      </c>
      <c r="GH5" t="e">
        <f>AND('Data '!#REF!,"AAAAAH//970=")</f>
        <v>#REF!</v>
      </c>
      <c r="GI5" t="e">
        <f>AND('Data '!#REF!,"AAAAAH//974=")</f>
        <v>#REF!</v>
      </c>
      <c r="GJ5" t="e">
        <f>AND('Data '!#REF!,"AAAAAH//978=")</f>
        <v>#REF!</v>
      </c>
      <c r="GK5" t="e">
        <f>AND('Data '!#REF!,"AAAAAH//98A=")</f>
        <v>#REF!</v>
      </c>
      <c r="GL5" t="e">
        <f>AND('Data '!#REF!,"AAAAAH//98E=")</f>
        <v>#REF!</v>
      </c>
      <c r="GM5" t="e">
        <f>AND('Data '!#REF!,"AAAAAH//98I=")</f>
        <v>#REF!</v>
      </c>
      <c r="GN5" t="e">
        <f>AND('Data '!#REF!,"AAAAAH//98M=")</f>
        <v>#REF!</v>
      </c>
      <c r="GO5" t="e">
        <f>AND('Data '!#REF!,"AAAAAH//98Q=")</f>
        <v>#REF!</v>
      </c>
      <c r="GP5" t="e">
        <f>AND('Data '!#REF!,"AAAAAH//98U=")</f>
        <v>#REF!</v>
      </c>
      <c r="GQ5" t="e">
        <f>AND('Data '!#REF!,"AAAAAH//98Y=")</f>
        <v>#REF!</v>
      </c>
      <c r="GR5" t="e">
        <f>AND('Data '!#REF!,"AAAAAH//98c=")</f>
        <v>#REF!</v>
      </c>
      <c r="GS5" t="e">
        <f>AND('Data '!#REF!,"AAAAAH//98g=")</f>
        <v>#REF!</v>
      </c>
      <c r="GT5" t="e">
        <f>AND('Data '!#REF!,"AAAAAH//98k=")</f>
        <v>#REF!</v>
      </c>
      <c r="GU5" t="e">
        <f>AND('Data '!#REF!,"AAAAAH//98o=")</f>
        <v>#REF!</v>
      </c>
      <c r="GV5" t="e">
        <f>AND('Data '!#REF!,"AAAAAH//98s=")</f>
        <v>#REF!</v>
      </c>
      <c r="GW5" t="e">
        <f>AND('Data '!#REF!,"AAAAAH//98w=")</f>
        <v>#REF!</v>
      </c>
      <c r="GX5" t="e">
        <f>AND('Data '!#REF!,"AAAAAH//980=")</f>
        <v>#REF!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 t="e">
        <f>IF('Data '!#REF!,"AAAAAH//99g=",0)</f>
        <v>#REF!</v>
      </c>
      <c r="HJ5" t="e">
        <f>AND('Data '!#REF!,"AAAAAH//99k=")</f>
        <v>#REF!</v>
      </c>
      <c r="HK5" t="e">
        <f>AND('Data '!#REF!,"AAAAAH//99o=")</f>
        <v>#REF!</v>
      </c>
      <c r="HL5" t="e">
        <f>AND('Data '!#REF!,"AAAAAH//99s=")</f>
        <v>#REF!</v>
      </c>
      <c r="HM5" t="e">
        <f>AND('Data '!#REF!,"AAAAAH//99w=")</f>
        <v>#REF!</v>
      </c>
      <c r="HN5" t="e">
        <f>AND('Data '!#REF!,"AAAAAH//990=")</f>
        <v>#REF!</v>
      </c>
      <c r="HO5" t="e">
        <f>AND('Data '!#REF!,"AAAAAH//994=")</f>
        <v>#REF!</v>
      </c>
      <c r="HP5" t="e">
        <f>AND('Data '!#REF!,"AAAAAH//998=")</f>
        <v>#REF!</v>
      </c>
      <c r="HQ5" t="e">
        <f>AND('Data '!#REF!,"AAAAAH//9+A=")</f>
        <v>#REF!</v>
      </c>
      <c r="HR5" t="e">
        <f>AND('Data '!#REF!,"AAAAAH//9+E=")</f>
        <v>#REF!</v>
      </c>
      <c r="HS5" t="e">
        <f>AND('Data '!#REF!,"AAAAAH//9+I=")</f>
        <v>#REF!</v>
      </c>
      <c r="HT5" t="e">
        <f>AND('Data '!#REF!,"AAAAAH//9+M=")</f>
        <v>#REF!</v>
      </c>
      <c r="HU5" t="e">
        <f>AND('Data '!#REF!,"AAAAAH//9+Q=")</f>
        <v>#REF!</v>
      </c>
      <c r="HV5" t="e">
        <f>AND('Data '!#REF!,"AAAAAH//9+U=")</f>
        <v>#REF!</v>
      </c>
      <c r="HW5" t="e">
        <f>AND('Data '!#REF!,"AAAAAH//9+Y=")</f>
        <v>#REF!</v>
      </c>
      <c r="HX5" t="e">
        <f>AND('Data '!#REF!,"AAAAAH//9+c=")</f>
        <v>#REF!</v>
      </c>
      <c r="HY5" t="e">
        <f>AND('Data '!#REF!,"AAAAAH//9+g=")</f>
        <v>#REF!</v>
      </c>
      <c r="HZ5" t="e">
        <f>AND('Data '!#REF!,"AAAAAH//9+k=")</f>
        <v>#REF!</v>
      </c>
      <c r="IA5" t="e">
        <f>AND('Data '!#REF!,"AAAAAH//9+o=")</f>
        <v>#REF!</v>
      </c>
      <c r="IB5" t="e">
        <f>AND('Data '!#REF!,"AAAAAH//9+s=")</f>
        <v>#REF!</v>
      </c>
      <c r="IC5" t="e">
        <f>AND('Data '!#REF!,"AAAAAH//9+w=")</f>
        <v>#REF!</v>
      </c>
      <c r="ID5" t="e">
        <f>AND('Data '!#REF!,"AAAAAH//9+0=")</f>
        <v>#REF!</v>
      </c>
      <c r="IE5" t="e">
        <f>AND('Data '!#REF!,"AAAAAH//9+4=")</f>
        <v>#REF!</v>
      </c>
      <c r="IF5" t="e">
        <f>AND('Data '!#REF!,"AAAAAH//9+8=")</f>
        <v>#REF!</v>
      </c>
      <c r="IG5" t="e">
        <f>AND('Data '!#REF!,"AAAAAH//9/A=")</f>
        <v>#REF!</v>
      </c>
      <c r="IH5" t="e">
        <f>AND('Data '!#REF!,"AAAAAH//9/E=")</f>
        <v>#REF!</v>
      </c>
      <c r="II5" t="e">
        <f>AND('Data '!#REF!,"AAAAAH//9/I=")</f>
        <v>#REF!</v>
      </c>
      <c r="IJ5" t="e">
        <f>AND('Data '!#REF!,"AAAAAH//9/M=")</f>
        <v>#REF!</v>
      </c>
      <c r="IK5" t="e">
        <f>AND('Data '!#REF!,"AAAAAH//9/Q=")</f>
        <v>#REF!</v>
      </c>
      <c r="IL5" t="e">
        <f>AND('Data '!#REF!,"AAAAAH//9/U=")</f>
        <v>#REF!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">
      <c r="A6" t="e">
        <f>IF('Data '!#REF!,"AAAAAF/39QA=",0)</f>
        <v>#REF!</v>
      </c>
      <c r="B6" t="e">
        <f>AND('Data '!#REF!,"AAAAAF/39QE=")</f>
        <v>#REF!</v>
      </c>
      <c r="C6" t="e">
        <f>AND('Data '!#REF!,"AAAAAF/39QI=")</f>
        <v>#REF!</v>
      </c>
      <c r="D6" t="e">
        <f>AND('Data '!#REF!,"AAAAAF/39QM=")</f>
        <v>#REF!</v>
      </c>
      <c r="E6" t="e">
        <f>AND('Data '!#REF!,"AAAAAF/39QQ=")</f>
        <v>#REF!</v>
      </c>
      <c r="F6" t="e">
        <f>AND('Data '!#REF!,"AAAAAF/39QU=")</f>
        <v>#REF!</v>
      </c>
      <c r="G6" t="e">
        <f>AND('Data '!#REF!,"AAAAAF/39QY=")</f>
        <v>#REF!</v>
      </c>
      <c r="H6" t="e">
        <f>AND('Data '!#REF!,"AAAAAF/39Qc=")</f>
        <v>#REF!</v>
      </c>
      <c r="I6" t="e">
        <f>AND('Data '!#REF!,"AAAAAF/39Qg=")</f>
        <v>#REF!</v>
      </c>
      <c r="J6" t="e">
        <f>AND('Data '!#REF!,"AAAAAF/39Qk=")</f>
        <v>#REF!</v>
      </c>
      <c r="K6" t="e">
        <f>AND('Data '!#REF!,"AAAAAF/39Qo=")</f>
        <v>#REF!</v>
      </c>
      <c r="L6" t="e">
        <f>AND('Data '!#REF!,"AAAAAF/39Qs=")</f>
        <v>#REF!</v>
      </c>
      <c r="M6" t="e">
        <f>AND('Data '!#REF!,"AAAAAF/39Qw=")</f>
        <v>#REF!</v>
      </c>
      <c r="N6" t="e">
        <f>AND('Data '!#REF!,"AAAAAF/39Q0=")</f>
        <v>#REF!</v>
      </c>
      <c r="O6" t="e">
        <f>AND('Data '!#REF!,"AAAAAF/39Q4=")</f>
        <v>#REF!</v>
      </c>
      <c r="P6" t="e">
        <f>AND('Data '!#REF!,"AAAAAF/39Q8=")</f>
        <v>#REF!</v>
      </c>
      <c r="Q6" t="e">
        <f>AND('Data '!#REF!,"AAAAAF/39RA=")</f>
        <v>#REF!</v>
      </c>
      <c r="R6" t="e">
        <f>AND('Data '!#REF!,"AAAAAF/39RE=")</f>
        <v>#REF!</v>
      </c>
      <c r="S6" t="e">
        <f>AND('Data '!#REF!,"AAAAAF/39RI=")</f>
        <v>#REF!</v>
      </c>
      <c r="T6" t="e">
        <f>AND('Data '!#REF!,"AAAAAF/39RM=")</f>
        <v>#REF!</v>
      </c>
      <c r="U6" t="e">
        <f>AND('Data '!#REF!,"AAAAAF/39RQ=")</f>
        <v>#REF!</v>
      </c>
      <c r="V6" t="e">
        <f>AND('Data '!#REF!,"AAAAAF/39RU=")</f>
        <v>#REF!</v>
      </c>
      <c r="W6" t="e">
        <f>AND('Data '!#REF!,"AAAAAF/39RY=")</f>
        <v>#REF!</v>
      </c>
      <c r="X6" t="e">
        <f>AND('Data '!#REF!,"AAAAAF/39Rc=")</f>
        <v>#REF!</v>
      </c>
      <c r="Y6" t="e">
        <f>AND('Data '!#REF!,"AAAAAF/39Rg=")</f>
        <v>#REF!</v>
      </c>
      <c r="Z6" t="e">
        <f>AND('Data '!#REF!,"AAAAAF/39Rk=")</f>
        <v>#REF!</v>
      </c>
      <c r="AA6" t="e">
        <f>AND('Data '!#REF!,"AAAAAF/39Ro=")</f>
        <v>#REF!</v>
      </c>
      <c r="AB6" t="e">
        <f>AND('Data '!#REF!,"AAAAAF/39Rs=")</f>
        <v>#REF!</v>
      </c>
      <c r="AC6" t="e">
        <f>AND('Data '!#REF!,"AAAAAF/39Rw=")</f>
        <v>#REF!</v>
      </c>
      <c r="AD6" t="e">
        <f>AND('Data '!#REF!,"AAAAAF/39R0=")</f>
        <v>#REF!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 t="e">
        <f>IF('Data '!#REF!,"AAAAAF/39Sg=",0)</f>
        <v>#REF!</v>
      </c>
      <c r="AP6" t="e">
        <f>AND('Data '!#REF!,"AAAAAF/39Sk=")</f>
        <v>#REF!</v>
      </c>
      <c r="AQ6" t="e">
        <f>AND('Data '!#REF!,"AAAAAF/39So=")</f>
        <v>#REF!</v>
      </c>
      <c r="AR6" t="e">
        <f>AND('Data '!#REF!,"AAAAAF/39Ss=")</f>
        <v>#REF!</v>
      </c>
      <c r="AS6" t="e">
        <f>AND('Data '!#REF!,"AAAAAF/39Sw=")</f>
        <v>#REF!</v>
      </c>
      <c r="AT6" t="e">
        <f>AND('Data '!#REF!,"AAAAAF/39S0=")</f>
        <v>#REF!</v>
      </c>
      <c r="AU6" t="e">
        <f>AND('Data '!#REF!,"AAAAAF/39S4=")</f>
        <v>#REF!</v>
      </c>
      <c r="AV6" t="e">
        <f>AND('Data '!#REF!,"AAAAAF/39S8=")</f>
        <v>#REF!</v>
      </c>
      <c r="AW6" t="e">
        <f>AND('Data '!#REF!,"AAAAAF/39TA=")</f>
        <v>#REF!</v>
      </c>
      <c r="AX6" t="e">
        <f>AND('Data '!#REF!,"AAAAAF/39TE=")</f>
        <v>#REF!</v>
      </c>
      <c r="AY6" t="e">
        <f>AND('Data '!#REF!,"AAAAAF/39TI=")</f>
        <v>#REF!</v>
      </c>
      <c r="AZ6" t="e">
        <f>AND('Data '!#REF!,"AAAAAF/39TM=")</f>
        <v>#REF!</v>
      </c>
      <c r="BA6" t="e">
        <f>AND('Data '!#REF!,"AAAAAF/39TQ=")</f>
        <v>#REF!</v>
      </c>
      <c r="BB6" t="e">
        <f>AND('Data '!#REF!,"AAAAAF/39TU=")</f>
        <v>#REF!</v>
      </c>
      <c r="BC6" t="e">
        <f>AND('Data '!#REF!,"AAAAAF/39TY=")</f>
        <v>#REF!</v>
      </c>
      <c r="BD6" t="e">
        <f>AND('Data '!#REF!,"AAAAAF/39Tc=")</f>
        <v>#REF!</v>
      </c>
      <c r="BE6" t="e">
        <f>AND('Data '!#REF!,"AAAAAF/39Tg=")</f>
        <v>#REF!</v>
      </c>
      <c r="BF6" t="e">
        <f>AND('Data '!#REF!,"AAAAAF/39Tk=")</f>
        <v>#REF!</v>
      </c>
      <c r="BG6" t="e">
        <f>AND('Data '!#REF!,"AAAAAF/39To=")</f>
        <v>#REF!</v>
      </c>
      <c r="BH6" t="e">
        <f>AND('Data '!#REF!,"AAAAAF/39Ts=")</f>
        <v>#REF!</v>
      </c>
      <c r="BI6" t="e">
        <f>AND('Data '!#REF!,"AAAAAF/39Tw=")</f>
        <v>#REF!</v>
      </c>
      <c r="BJ6" t="e">
        <f>AND('Data '!#REF!,"AAAAAF/39T0=")</f>
        <v>#REF!</v>
      </c>
      <c r="BK6" t="e">
        <f>AND('Data '!#REF!,"AAAAAF/39T4=")</f>
        <v>#REF!</v>
      </c>
      <c r="BL6" t="e">
        <f>AND('Data '!#REF!,"AAAAAF/39T8=")</f>
        <v>#REF!</v>
      </c>
      <c r="BM6" t="e">
        <f>AND('Data '!#REF!,"AAAAAF/39UA=")</f>
        <v>#REF!</v>
      </c>
      <c r="BN6" t="e">
        <f>AND('Data '!#REF!,"AAAAAF/39UE=")</f>
        <v>#REF!</v>
      </c>
      <c r="BO6" t="e">
        <f>AND('Data '!#REF!,"AAAAAF/39UI=")</f>
        <v>#REF!</v>
      </c>
      <c r="BP6" t="e">
        <f>AND('Data '!#REF!,"AAAAAF/39UM=")</f>
        <v>#REF!</v>
      </c>
      <c r="BQ6" t="e">
        <f>AND('Data '!#REF!,"AAAAAF/39UQ=")</f>
        <v>#REF!</v>
      </c>
      <c r="BR6" t="e">
        <f>AND('Data '!#REF!,"AAAAAF/39UU=")</f>
        <v>#REF!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'!27:27,"AAAAAF/39VA=",0)</f>
        <v>0</v>
      </c>
      <c r="CD6" t="e">
        <f>AND('Data '!A27,"AAAAAF/39VE=")</f>
        <v>#VALUE!</v>
      </c>
      <c r="CE6" t="e">
        <f>AND('Data '!B27,"AAAAAF/39VI=")</f>
        <v>#VALUE!</v>
      </c>
      <c r="CF6" t="e">
        <f>AND('Data '!C27,"AAAAAF/39VM=")</f>
        <v>#VALUE!</v>
      </c>
      <c r="CG6" t="e">
        <f>AND('Data '!D27,"AAAAAF/39VQ=")</f>
        <v>#VALUE!</v>
      </c>
      <c r="CH6" t="e">
        <f>AND('Data '!E27,"AAAAAF/39VU=")</f>
        <v>#VALUE!</v>
      </c>
      <c r="CI6" t="e">
        <f>AND('Data '!F27,"AAAAAF/39VY=")</f>
        <v>#VALUE!</v>
      </c>
      <c r="CJ6" t="e">
        <f>AND('Data '!G27,"AAAAAF/39Vc=")</f>
        <v>#VALUE!</v>
      </c>
      <c r="CK6" t="e">
        <f>AND('Data '!H27,"AAAAAF/39Vg=")</f>
        <v>#VALUE!</v>
      </c>
      <c r="CL6" t="e">
        <f>AND('Data '!I27,"AAAAAF/39Vk=")</f>
        <v>#VALUE!</v>
      </c>
      <c r="CM6" t="e">
        <f>AND('Data '!J27,"AAAAAF/39Vo=")</f>
        <v>#VALUE!</v>
      </c>
      <c r="CN6" t="e">
        <f>AND('Data '!K27,"AAAAAF/39Vs=")</f>
        <v>#VALUE!</v>
      </c>
      <c r="CO6" t="e">
        <f>AND('Data '!L27,"AAAAAF/39Vw=")</f>
        <v>#VALUE!</v>
      </c>
      <c r="CP6" t="e">
        <f>AND('Data '!M27,"AAAAAF/39V0=")</f>
        <v>#VALUE!</v>
      </c>
      <c r="CQ6" t="e">
        <f>AND('Data '!N27,"AAAAAF/39V4=")</f>
        <v>#VALUE!</v>
      </c>
      <c r="CR6" t="e">
        <f>AND('Data '!O27,"AAAAAF/39V8=")</f>
        <v>#VALUE!</v>
      </c>
      <c r="CS6" t="e">
        <f>AND('Data '!P27,"AAAAAF/39WA=")</f>
        <v>#VALUE!</v>
      </c>
      <c r="CT6" t="e">
        <f>AND('Data '!Q27,"AAAAAF/39WE=")</f>
        <v>#VALUE!</v>
      </c>
      <c r="CU6" t="e">
        <f>AND('Data '!R27,"AAAAAF/39WI=")</f>
        <v>#VALUE!</v>
      </c>
      <c r="CV6" t="e">
        <f>AND('Data '!S27,"AAAAAF/39WM=")</f>
        <v>#VALUE!</v>
      </c>
      <c r="CW6" t="e">
        <f>AND('Data '!T27,"AAAAAF/39WQ=")</f>
        <v>#VALUE!</v>
      </c>
      <c r="CX6" t="e">
        <f>AND('Data '!U27,"AAAAAF/39WU=")</f>
        <v>#VALUE!</v>
      </c>
      <c r="CY6" t="e">
        <f>AND('Data '!V27,"AAAAAF/39WY=")</f>
        <v>#VALUE!</v>
      </c>
      <c r="CZ6" t="e">
        <f>AND('Data '!W27,"AAAAAF/39Wc=")</f>
        <v>#VALUE!</v>
      </c>
      <c r="DA6" t="e">
        <f>AND('Data '!X27,"AAAAAF/39Wg=")</f>
        <v>#VALUE!</v>
      </c>
      <c r="DB6" t="e">
        <f>AND('Data '!Y27,"AAAAAF/39Wk=")</f>
        <v>#VALUE!</v>
      </c>
      <c r="DC6" t="e">
        <f>AND('Data '!Z27,"AAAAAF/39Wo=")</f>
        <v>#VALUE!</v>
      </c>
      <c r="DD6" t="e">
        <f>AND('Data '!AA27,"AAAAAF/39Ws=")</f>
        <v>#VALUE!</v>
      </c>
      <c r="DE6" t="e">
        <f>AND('Data '!AB27,"AAAAAF/39Ww=")</f>
        <v>#VALUE!</v>
      </c>
      <c r="DF6" t="e">
        <f>AND('Data '!AC27,"AAAAAF/39W0=")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'!28:28,"AAAAAF/39Xg=",0)</f>
        <v>0</v>
      </c>
      <c r="DR6" t="e">
        <f>AND('Data '!A28,"AAAAAF/39Xk=")</f>
        <v>#VALUE!</v>
      </c>
      <c r="DS6" t="e">
        <f>AND('Data '!B28,"AAAAAF/39Xo=")</f>
        <v>#VALUE!</v>
      </c>
      <c r="DT6" t="e">
        <f>AND('Data '!C28,"AAAAAF/39Xs=")</f>
        <v>#VALUE!</v>
      </c>
      <c r="DU6" t="e">
        <f>AND('Data '!D28,"AAAAAF/39Xw=")</f>
        <v>#VALUE!</v>
      </c>
      <c r="DV6" t="e">
        <f>AND('Data '!E28,"AAAAAF/39X0=")</f>
        <v>#VALUE!</v>
      </c>
      <c r="DW6" t="e">
        <f>AND('Data '!F28,"AAAAAF/39X4=")</f>
        <v>#VALUE!</v>
      </c>
      <c r="DX6" t="e">
        <f>AND('Data '!G28,"AAAAAF/39X8=")</f>
        <v>#VALUE!</v>
      </c>
      <c r="DY6" t="e">
        <f>AND('Data '!H28,"AAAAAF/39YA=")</f>
        <v>#VALUE!</v>
      </c>
      <c r="DZ6" t="e">
        <f>AND('Data '!I28,"AAAAAF/39YE=")</f>
        <v>#VALUE!</v>
      </c>
      <c r="EA6" t="e">
        <f>AND('Data '!J28,"AAAAAF/39YI=")</f>
        <v>#VALUE!</v>
      </c>
      <c r="EB6" t="e">
        <f>AND('Data '!K28,"AAAAAF/39YM=")</f>
        <v>#VALUE!</v>
      </c>
      <c r="EC6" t="e">
        <f>AND('Data '!L28,"AAAAAF/39YQ=")</f>
        <v>#VALUE!</v>
      </c>
      <c r="ED6" t="e">
        <f>AND('Data '!M28,"AAAAAF/39YU=")</f>
        <v>#VALUE!</v>
      </c>
      <c r="EE6" t="e">
        <f>AND('Data '!N28,"AAAAAF/39YY=")</f>
        <v>#VALUE!</v>
      </c>
      <c r="EF6" t="e">
        <f>AND('Data '!O28,"AAAAAF/39Yc=")</f>
        <v>#VALUE!</v>
      </c>
      <c r="EG6" t="e">
        <f>AND('Data '!P28,"AAAAAF/39Yg=")</f>
        <v>#VALUE!</v>
      </c>
      <c r="EH6" t="e">
        <f>AND('Data '!Q28,"AAAAAF/39Yk=")</f>
        <v>#VALUE!</v>
      </c>
      <c r="EI6" t="e">
        <f>AND('Data '!R28,"AAAAAF/39Yo=")</f>
        <v>#VALUE!</v>
      </c>
      <c r="EJ6" t="e">
        <f>AND('Data '!S28,"AAAAAF/39Ys=")</f>
        <v>#VALUE!</v>
      </c>
      <c r="EK6" t="e">
        <f>AND('Data '!T28,"AAAAAF/39Yw=")</f>
        <v>#VALUE!</v>
      </c>
      <c r="EL6" t="e">
        <f>AND('Data '!U28,"AAAAAF/39Y0=")</f>
        <v>#VALUE!</v>
      </c>
      <c r="EM6" t="e">
        <f>AND('Data '!V28,"AAAAAF/39Y4=")</f>
        <v>#VALUE!</v>
      </c>
      <c r="EN6" t="e">
        <f>AND('Data '!W28,"AAAAAF/39Y8=")</f>
        <v>#VALUE!</v>
      </c>
      <c r="EO6" t="e">
        <f>AND('Data '!X28,"AAAAAF/39ZA=")</f>
        <v>#VALUE!</v>
      </c>
      <c r="EP6" t="e">
        <f>AND('Data '!Y28,"AAAAAF/39ZE=")</f>
        <v>#VALUE!</v>
      </c>
      <c r="EQ6" t="e">
        <f>AND('Data '!Z28,"AAAAAF/39ZI=")</f>
        <v>#VALUE!</v>
      </c>
      <c r="ER6" t="e">
        <f>AND('Data '!AA28,"AAAAAF/39ZM=")</f>
        <v>#VALUE!</v>
      </c>
      <c r="ES6" t="e">
        <f>AND('Data '!AB28,"AAAAAF/39ZQ=")</f>
        <v>#VALUE!</v>
      </c>
      <c r="ET6" t="e">
        <f>AND('Data '!AC28,"AAAAAF/39ZU=")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'!29:29,"AAAAAF/39aA=",0)</f>
        <v>0</v>
      </c>
      <c r="FF6" t="e">
        <f>AND('Data '!A29,"AAAAAF/39aE=")</f>
        <v>#VALUE!</v>
      </c>
      <c r="FG6" t="e">
        <f>AND('Data '!B29,"AAAAAF/39aI=")</f>
        <v>#VALUE!</v>
      </c>
      <c r="FH6" t="e">
        <f>AND('Data '!C29,"AAAAAF/39aM=")</f>
        <v>#VALUE!</v>
      </c>
      <c r="FI6" t="e">
        <f>AND('Data '!D29,"AAAAAF/39aQ=")</f>
        <v>#VALUE!</v>
      </c>
      <c r="FJ6" t="e">
        <f>AND('Data '!E29,"AAAAAF/39aU=")</f>
        <v>#VALUE!</v>
      </c>
      <c r="FK6" t="e">
        <f>AND('Data '!F29,"AAAAAF/39aY=")</f>
        <v>#VALUE!</v>
      </c>
      <c r="FL6" t="e">
        <f>AND('Data '!G29,"AAAAAF/39ac=")</f>
        <v>#VALUE!</v>
      </c>
      <c r="FM6" t="e">
        <f>AND('Data '!H29,"AAAAAF/39ag=")</f>
        <v>#VALUE!</v>
      </c>
      <c r="FN6" t="e">
        <f>AND('Data '!I29,"AAAAAF/39ak=")</f>
        <v>#VALUE!</v>
      </c>
      <c r="FO6" t="e">
        <f>AND('Data '!J29,"AAAAAF/39ao=")</f>
        <v>#VALUE!</v>
      </c>
      <c r="FP6" t="e">
        <f>AND('Data '!K29,"AAAAAF/39as=")</f>
        <v>#VALUE!</v>
      </c>
      <c r="FQ6" t="e">
        <f>AND('Data '!L29,"AAAAAF/39aw=")</f>
        <v>#VALUE!</v>
      </c>
      <c r="FR6" t="e">
        <f>AND('Data '!M29,"AAAAAF/39a0=")</f>
        <v>#VALUE!</v>
      </c>
      <c r="FS6" t="e">
        <f>AND('Data '!N29,"AAAAAF/39a4=")</f>
        <v>#VALUE!</v>
      </c>
      <c r="FT6" t="e">
        <f>AND('Data '!O29,"AAAAAF/39a8=")</f>
        <v>#VALUE!</v>
      </c>
      <c r="FU6" t="e">
        <f>AND('Data '!P29,"AAAAAF/39bA=")</f>
        <v>#VALUE!</v>
      </c>
      <c r="FV6" t="e">
        <f>AND('Data '!Q29,"AAAAAF/39bE=")</f>
        <v>#VALUE!</v>
      </c>
      <c r="FW6" t="e">
        <f>AND('Data '!R29,"AAAAAF/39bI=")</f>
        <v>#VALUE!</v>
      </c>
      <c r="FX6" t="e">
        <f>AND('Data '!S29,"AAAAAF/39bM=")</f>
        <v>#VALUE!</v>
      </c>
      <c r="FY6" t="e">
        <f>AND('Data '!T29,"AAAAAF/39bQ=")</f>
        <v>#VALUE!</v>
      </c>
      <c r="FZ6" t="e">
        <f>AND('Data '!U29,"AAAAAF/39bU=")</f>
        <v>#VALUE!</v>
      </c>
      <c r="GA6" t="e">
        <f>AND('Data '!V29,"AAAAAF/39bY=")</f>
        <v>#VALUE!</v>
      </c>
      <c r="GB6" t="e">
        <f>AND('Data '!W29,"AAAAAF/39bc=")</f>
        <v>#VALUE!</v>
      </c>
      <c r="GC6" t="e">
        <f>AND('Data '!X29,"AAAAAF/39bg=")</f>
        <v>#VALUE!</v>
      </c>
      <c r="GD6" t="e">
        <f>AND('Data '!Y29,"AAAAAF/39bk=")</f>
        <v>#VALUE!</v>
      </c>
      <c r="GE6" t="e">
        <f>AND('Data '!Z29,"AAAAAF/39bo=")</f>
        <v>#VALUE!</v>
      </c>
      <c r="GF6" t="e">
        <f>AND('Data '!AA29,"AAAAAF/39bs=")</f>
        <v>#VALUE!</v>
      </c>
      <c r="GG6" t="e">
        <f>AND('Data '!AB29,"AAAAAF/39bw=")</f>
        <v>#VALUE!</v>
      </c>
      <c r="GH6" t="e">
        <f>AND('Data '!AC29,"AAAAAF/39b0=")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'!30:30,"AAAAAF/39cg=",0)</f>
        <v>0</v>
      </c>
      <c r="GT6" t="e">
        <f>AND('Data '!A30,"AAAAAF/39ck=")</f>
        <v>#VALUE!</v>
      </c>
      <c r="GU6" t="e">
        <f>AND('Data '!B30,"AAAAAF/39co=")</f>
        <v>#VALUE!</v>
      </c>
      <c r="GV6" t="e">
        <f>AND('Data '!C30,"AAAAAF/39cs=")</f>
        <v>#VALUE!</v>
      </c>
      <c r="GW6" t="e">
        <f>AND('Data '!D30,"AAAAAF/39cw=")</f>
        <v>#VALUE!</v>
      </c>
      <c r="GX6" t="e">
        <f>AND('Data '!E30,"AAAAAF/39c0=")</f>
        <v>#VALUE!</v>
      </c>
      <c r="GY6" t="e">
        <f>AND('Data '!F30,"AAAAAF/39c4=")</f>
        <v>#VALUE!</v>
      </c>
      <c r="GZ6" t="e">
        <f>AND('Data '!G30,"AAAAAF/39c8=")</f>
        <v>#VALUE!</v>
      </c>
      <c r="HA6" t="e">
        <f>AND('Data '!H30,"AAAAAF/39dA=")</f>
        <v>#VALUE!</v>
      </c>
      <c r="HB6" t="e">
        <f>AND('Data '!I30,"AAAAAF/39dE=")</f>
        <v>#VALUE!</v>
      </c>
      <c r="HC6" t="e">
        <f>AND('Data '!J30,"AAAAAF/39dI=")</f>
        <v>#VALUE!</v>
      </c>
      <c r="HD6" t="e">
        <f>AND('Data '!K30,"AAAAAF/39dM=")</f>
        <v>#VALUE!</v>
      </c>
      <c r="HE6" t="e">
        <f>AND('Data '!L30,"AAAAAF/39dQ=")</f>
        <v>#VALUE!</v>
      </c>
      <c r="HF6" t="e">
        <f>AND('Data '!M30,"AAAAAF/39dU=")</f>
        <v>#VALUE!</v>
      </c>
      <c r="HG6" t="e">
        <f>AND('Data '!N30,"AAAAAF/39dY=")</f>
        <v>#VALUE!</v>
      </c>
      <c r="HH6" t="e">
        <f>AND('Data '!O30,"AAAAAF/39dc=")</f>
        <v>#VALUE!</v>
      </c>
      <c r="HI6" t="e">
        <f>AND('Data '!P30,"AAAAAF/39dg=")</f>
        <v>#VALUE!</v>
      </c>
      <c r="HJ6" t="e">
        <f>AND('Data '!Q30,"AAAAAF/39dk=")</f>
        <v>#VALUE!</v>
      </c>
      <c r="HK6" t="e">
        <f>AND('Data '!R30,"AAAAAF/39do=")</f>
        <v>#VALUE!</v>
      </c>
      <c r="HL6" t="e">
        <f>AND('Data '!S30,"AAAAAF/39ds=")</f>
        <v>#VALUE!</v>
      </c>
      <c r="HM6" t="e">
        <f>AND('Data '!T30,"AAAAAF/39dw=")</f>
        <v>#VALUE!</v>
      </c>
      <c r="HN6" t="e">
        <f>AND('Data '!U30,"AAAAAF/39d0=")</f>
        <v>#VALUE!</v>
      </c>
      <c r="HO6" t="e">
        <f>AND('Data '!V30,"AAAAAF/39d4=")</f>
        <v>#VALUE!</v>
      </c>
      <c r="HP6" t="e">
        <f>AND('Data '!W30,"AAAAAF/39d8=")</f>
        <v>#VALUE!</v>
      </c>
      <c r="HQ6" t="e">
        <f>AND('Data '!X30,"AAAAAF/39eA=")</f>
        <v>#VALUE!</v>
      </c>
      <c r="HR6" t="e">
        <f>AND('Data '!Y30,"AAAAAF/39eE=")</f>
        <v>#VALUE!</v>
      </c>
      <c r="HS6" t="e">
        <f>AND('Data '!Z30,"AAAAAF/39eI=")</f>
        <v>#VALUE!</v>
      </c>
      <c r="HT6" t="e">
        <f>AND('Data '!AA30,"AAAAAF/39eM=")</f>
        <v>#VALUE!</v>
      </c>
      <c r="HU6" t="e">
        <f>AND('Data '!AB30,"AAAAAF/39eQ=")</f>
        <v>#VALUE!</v>
      </c>
      <c r="HV6" t="e">
        <f>AND('Data '!AC30,"AAAAAF/39eU=")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'!31:31,"AAAAAF/39fA=",0)</f>
        <v>0</v>
      </c>
      <c r="IH6" t="e">
        <f>AND('Data '!A31,"AAAAAF/39fE=")</f>
        <v>#VALUE!</v>
      </c>
      <c r="II6" t="e">
        <f>AND('Data '!B31,"AAAAAF/39fI=")</f>
        <v>#VALUE!</v>
      </c>
      <c r="IJ6" t="e">
        <f>AND('Data '!C31,"AAAAAF/39fM=")</f>
        <v>#VALUE!</v>
      </c>
      <c r="IK6" t="e">
        <f>AND('Data '!D31,"AAAAAF/39fQ=")</f>
        <v>#VALUE!</v>
      </c>
      <c r="IL6" t="e">
        <f>AND('Data '!E31,"AAAAAF/39fU=")</f>
        <v>#VALUE!</v>
      </c>
      <c r="IM6" t="e">
        <f>AND('Data '!F31,"AAAAAF/39fY=")</f>
        <v>#VALUE!</v>
      </c>
      <c r="IN6" t="e">
        <f>AND('Data '!G31,"AAAAAF/39fc=")</f>
        <v>#VALUE!</v>
      </c>
      <c r="IO6" t="e">
        <f>AND('Data '!H31,"AAAAAF/39fg=")</f>
        <v>#VALUE!</v>
      </c>
      <c r="IP6" t="e">
        <f>AND('Data '!I31,"AAAAAF/39fk=")</f>
        <v>#VALUE!</v>
      </c>
      <c r="IQ6" t="e">
        <f>AND('Data '!J31,"AAAAAF/39fo=")</f>
        <v>#VALUE!</v>
      </c>
      <c r="IR6" t="e">
        <f>AND('Data '!K31,"AAAAAF/39fs=")</f>
        <v>#VALUE!</v>
      </c>
      <c r="IS6" t="e">
        <f>AND('Data '!L31,"AAAAAF/39fw=")</f>
        <v>#VALUE!</v>
      </c>
      <c r="IT6" t="e">
        <f>AND('Data '!M31,"AAAAAF/39f0=")</f>
        <v>#VALUE!</v>
      </c>
      <c r="IU6" t="e">
        <f>AND('Data '!N31,"AAAAAF/39f4=")</f>
        <v>#VALUE!</v>
      </c>
      <c r="IV6" t="e">
        <f>AND('Data '!O31,"AAAAAF/39f8=")</f>
        <v>#VALUE!</v>
      </c>
    </row>
    <row r="7" spans="1:256" x14ac:dyDescent="0.2">
      <c r="A7" t="e">
        <f>AND('Data '!P31,"AAAAAF96GQA=")</f>
        <v>#VALUE!</v>
      </c>
      <c r="B7" t="e">
        <f>AND('Data '!Q31,"AAAAAF96GQE=")</f>
        <v>#VALUE!</v>
      </c>
      <c r="C7" t="e">
        <f>AND('Data '!R31,"AAAAAF96GQI=")</f>
        <v>#VALUE!</v>
      </c>
      <c r="D7" t="e">
        <f>AND('Data '!S31,"AAAAAF96GQM=")</f>
        <v>#VALUE!</v>
      </c>
      <c r="E7" t="e">
        <f>AND('Data '!T31,"AAAAAF96GQQ=")</f>
        <v>#VALUE!</v>
      </c>
      <c r="F7" t="e">
        <f>AND('Data '!U31,"AAAAAF96GQU=")</f>
        <v>#VALUE!</v>
      </c>
      <c r="G7" t="e">
        <f>AND('Data '!V31,"AAAAAF96GQY=")</f>
        <v>#VALUE!</v>
      </c>
      <c r="H7" t="e">
        <f>AND('Data '!W31,"AAAAAF96GQc=")</f>
        <v>#VALUE!</v>
      </c>
      <c r="I7" t="e">
        <f>AND('Data '!X31,"AAAAAF96GQg=")</f>
        <v>#VALUE!</v>
      </c>
      <c r="J7" t="e">
        <f>AND('Data '!Y31,"AAAAAF96GQk=")</f>
        <v>#VALUE!</v>
      </c>
      <c r="K7" t="e">
        <f>AND('Data '!Z31,"AAAAAF96GQo=")</f>
        <v>#VALUE!</v>
      </c>
      <c r="L7" t="e">
        <f>AND('Data '!AA31,"AAAAAF96GQs=")</f>
        <v>#VALUE!</v>
      </c>
      <c r="M7" t="e">
        <f>AND('Data '!AB31,"AAAAAF96GQw=")</f>
        <v>#VALUE!</v>
      </c>
      <c r="N7" t="e">
        <f>AND('Data '!AC31,"AAAAAF96GQ0=")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'!32:32,"AAAAAF96GRg=",0)</f>
        <v>0</v>
      </c>
      <c r="Z7" t="e">
        <f>AND('Data '!A32,"AAAAAF96GRk=")</f>
        <v>#VALUE!</v>
      </c>
      <c r="AA7" t="e">
        <f>AND('Data '!B32,"AAAAAF96GRo=")</f>
        <v>#VALUE!</v>
      </c>
      <c r="AB7" t="e">
        <f>AND('Data '!C32,"AAAAAF96GRs=")</f>
        <v>#VALUE!</v>
      </c>
      <c r="AC7" t="e">
        <f>AND('Data '!D32,"AAAAAF96GRw=")</f>
        <v>#VALUE!</v>
      </c>
      <c r="AD7" t="e">
        <f>AND('Data '!E32,"AAAAAF96GR0=")</f>
        <v>#VALUE!</v>
      </c>
      <c r="AE7" t="e">
        <f>AND('Data '!F32,"AAAAAF96GR4=")</f>
        <v>#VALUE!</v>
      </c>
      <c r="AF7" t="e">
        <f>AND('Data '!G32,"AAAAAF96GR8=")</f>
        <v>#VALUE!</v>
      </c>
      <c r="AG7" t="e">
        <f>AND('Data '!H32,"AAAAAF96GSA=")</f>
        <v>#VALUE!</v>
      </c>
      <c r="AH7" t="e">
        <f>AND('Data '!I32,"AAAAAF96GSE=")</f>
        <v>#VALUE!</v>
      </c>
      <c r="AI7" t="e">
        <f>AND('Data '!J32,"AAAAAF96GSI=")</f>
        <v>#VALUE!</v>
      </c>
      <c r="AJ7" t="e">
        <f>AND('Data '!K32,"AAAAAF96GSM=")</f>
        <v>#VALUE!</v>
      </c>
      <c r="AK7" t="e">
        <f>AND('Data '!L32,"AAAAAF96GSQ=")</f>
        <v>#VALUE!</v>
      </c>
      <c r="AL7" t="e">
        <f>AND('Data '!M32,"AAAAAF96GSU=")</f>
        <v>#VALUE!</v>
      </c>
      <c r="AM7" t="e">
        <f>AND('Data '!N32,"AAAAAF96GSY=")</f>
        <v>#VALUE!</v>
      </c>
      <c r="AN7" t="e">
        <f>AND('Data '!O32,"AAAAAF96GSc=")</f>
        <v>#VALUE!</v>
      </c>
      <c r="AO7" t="e">
        <f>AND('Data '!P32,"AAAAAF96GSg=")</f>
        <v>#VALUE!</v>
      </c>
      <c r="AP7" t="e">
        <f>AND('Data '!Q32,"AAAAAF96GSk=")</f>
        <v>#VALUE!</v>
      </c>
      <c r="AQ7" t="e">
        <f>AND('Data '!R32,"AAAAAF96GSo=")</f>
        <v>#VALUE!</v>
      </c>
      <c r="AR7" t="e">
        <f>AND('Data '!S32,"AAAAAF96GSs=")</f>
        <v>#VALUE!</v>
      </c>
      <c r="AS7" t="e">
        <f>AND('Data '!T32,"AAAAAF96GSw=")</f>
        <v>#VALUE!</v>
      </c>
      <c r="AT7" t="e">
        <f>AND('Data '!U32,"AAAAAF96GS0=")</f>
        <v>#VALUE!</v>
      </c>
      <c r="AU7" t="e">
        <f>AND('Data '!V32,"AAAAAF96GS4=")</f>
        <v>#VALUE!</v>
      </c>
      <c r="AV7" t="e">
        <f>AND('Data '!W32,"AAAAAF96GS8=")</f>
        <v>#VALUE!</v>
      </c>
      <c r="AW7" t="e">
        <f>AND('Data '!X32,"AAAAAF96GTA=")</f>
        <v>#VALUE!</v>
      </c>
      <c r="AX7" t="e">
        <f>AND('Data '!Y32,"AAAAAF96GTE=")</f>
        <v>#VALUE!</v>
      </c>
      <c r="AY7" t="e">
        <f>AND('Data '!Z32,"AAAAAF96GTI=")</f>
        <v>#VALUE!</v>
      </c>
      <c r="AZ7" t="e">
        <f>AND('Data '!AA32,"AAAAAF96GTM=")</f>
        <v>#VALUE!</v>
      </c>
      <c r="BA7" t="e">
        <f>AND('Data '!AB32,"AAAAAF96GTQ=")</f>
        <v>#VALUE!</v>
      </c>
      <c r="BB7" t="e">
        <f>AND('Data '!AC32,"AAAAAF96GTU=")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'!33:33,"AAAAAF96GUA=",0)</f>
        <v>0</v>
      </c>
      <c r="BN7" t="e">
        <f>AND('Data '!A33,"AAAAAF96GUE=")</f>
        <v>#VALUE!</v>
      </c>
      <c r="BO7" t="e">
        <f>AND('Data '!B33,"AAAAAF96GUI=")</f>
        <v>#VALUE!</v>
      </c>
      <c r="BP7" t="e">
        <f>AND('Data '!C33,"AAAAAF96GUM=")</f>
        <v>#VALUE!</v>
      </c>
      <c r="BQ7" t="e">
        <f>AND('Data '!D33,"AAAAAF96GUQ=")</f>
        <v>#VALUE!</v>
      </c>
      <c r="BR7" t="e">
        <f>AND('Data '!E33,"AAAAAF96GUU=")</f>
        <v>#VALUE!</v>
      </c>
      <c r="BS7" t="e">
        <f>AND('Data '!F33,"AAAAAF96GUY=")</f>
        <v>#VALUE!</v>
      </c>
      <c r="BT7" t="e">
        <f>AND('Data '!G33,"AAAAAF96GUc=")</f>
        <v>#VALUE!</v>
      </c>
      <c r="BU7" t="e">
        <f>AND('Data '!H33,"AAAAAF96GUg=")</f>
        <v>#VALUE!</v>
      </c>
      <c r="BV7" t="e">
        <f>AND('Data '!I33,"AAAAAF96GUk=")</f>
        <v>#VALUE!</v>
      </c>
      <c r="BW7" t="e">
        <f>AND('Data '!J33,"AAAAAF96GUo=")</f>
        <v>#VALUE!</v>
      </c>
      <c r="BX7" t="e">
        <f>AND('Data '!K33,"AAAAAF96GUs=")</f>
        <v>#VALUE!</v>
      </c>
      <c r="BY7" t="e">
        <f>AND('Data '!L33,"AAAAAF96GUw=")</f>
        <v>#VALUE!</v>
      </c>
      <c r="BZ7" t="e">
        <f>AND('Data '!M33,"AAAAAF96GU0=")</f>
        <v>#VALUE!</v>
      </c>
      <c r="CA7" t="e">
        <f>AND('Data '!N33,"AAAAAF96GU4=")</f>
        <v>#VALUE!</v>
      </c>
      <c r="CB7" t="e">
        <f>AND('Data '!O33,"AAAAAF96GU8=")</f>
        <v>#VALUE!</v>
      </c>
      <c r="CC7" t="e">
        <f>AND('Data '!P33,"AAAAAF96GVA=")</f>
        <v>#VALUE!</v>
      </c>
      <c r="CD7" t="e">
        <f>AND('Data '!Q33,"AAAAAF96GVE=")</f>
        <v>#VALUE!</v>
      </c>
      <c r="CE7" t="e">
        <f>AND('Data '!R33,"AAAAAF96GVI=")</f>
        <v>#VALUE!</v>
      </c>
      <c r="CF7" t="e">
        <f>AND('Data '!S33,"AAAAAF96GVM=")</f>
        <v>#VALUE!</v>
      </c>
      <c r="CG7" t="e">
        <f>AND('Data '!T33,"AAAAAF96GVQ=")</f>
        <v>#VALUE!</v>
      </c>
      <c r="CH7" t="e">
        <f>AND('Data '!U33,"AAAAAF96GVU=")</f>
        <v>#VALUE!</v>
      </c>
      <c r="CI7" t="e">
        <f>AND('Data '!V33,"AAAAAF96GVY=")</f>
        <v>#VALUE!</v>
      </c>
      <c r="CJ7" t="e">
        <f>AND('Data '!W33,"AAAAAF96GVc=")</f>
        <v>#VALUE!</v>
      </c>
      <c r="CK7" t="e">
        <f>AND('Data '!X33,"AAAAAF96GVg=")</f>
        <v>#VALUE!</v>
      </c>
      <c r="CL7" t="e">
        <f>AND('Data '!Y33,"AAAAAF96GVk=")</f>
        <v>#VALUE!</v>
      </c>
      <c r="CM7" t="e">
        <f>AND('Data '!Z33,"AAAAAF96GVo=")</f>
        <v>#VALUE!</v>
      </c>
      <c r="CN7" t="e">
        <f>AND('Data '!AA33,"AAAAAF96GVs=")</f>
        <v>#VALUE!</v>
      </c>
      <c r="CO7" t="e">
        <f>AND('Data '!AB33,"AAAAAF96GVw=")</f>
        <v>#VALUE!</v>
      </c>
      <c r="CP7" t="e">
        <f>AND('Data '!AC33,"AAAAAF96GV0=")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'!34:34,"AAAAAF96GWg=",0)</f>
        <v>0</v>
      </c>
      <c r="DB7" t="e">
        <f>AND('Data '!A34,"AAAAAF96GWk=")</f>
        <v>#VALUE!</v>
      </c>
      <c r="DC7" t="e">
        <f>AND('Data '!B34,"AAAAAF96GWo=")</f>
        <v>#VALUE!</v>
      </c>
      <c r="DD7" t="e">
        <f>AND('Data '!C34,"AAAAAF96GWs=")</f>
        <v>#VALUE!</v>
      </c>
      <c r="DE7" t="e">
        <f>AND('Data '!D34,"AAAAAF96GWw=")</f>
        <v>#VALUE!</v>
      </c>
      <c r="DF7" t="e">
        <f>AND('Data '!E34,"AAAAAF96GW0=")</f>
        <v>#VALUE!</v>
      </c>
      <c r="DG7" t="e">
        <f>AND('Data '!F34,"AAAAAF96GW4=")</f>
        <v>#VALUE!</v>
      </c>
      <c r="DH7" t="e">
        <f>AND('Data '!G34,"AAAAAF96GW8=")</f>
        <v>#VALUE!</v>
      </c>
      <c r="DI7" t="e">
        <f>AND('Data '!H34,"AAAAAF96GXA=")</f>
        <v>#VALUE!</v>
      </c>
      <c r="DJ7" t="e">
        <f>AND('Data '!I34,"AAAAAF96GXE=")</f>
        <v>#VALUE!</v>
      </c>
      <c r="DK7" t="e">
        <f>AND('Data '!J34,"AAAAAF96GXI=")</f>
        <v>#VALUE!</v>
      </c>
      <c r="DL7" t="e">
        <f>AND('Data '!K34,"AAAAAF96GXM=")</f>
        <v>#VALUE!</v>
      </c>
      <c r="DM7" t="e">
        <f>AND('Data '!L34,"AAAAAF96GXQ=")</f>
        <v>#VALUE!</v>
      </c>
      <c r="DN7" t="e">
        <f>AND('Data '!M34,"AAAAAF96GXU=")</f>
        <v>#VALUE!</v>
      </c>
      <c r="DO7" t="e">
        <f>AND('Data '!N34,"AAAAAF96GXY=")</f>
        <v>#VALUE!</v>
      </c>
      <c r="DP7" t="e">
        <f>AND('Data '!O34,"AAAAAF96GXc=")</f>
        <v>#VALUE!</v>
      </c>
      <c r="DQ7" t="e">
        <f>AND('Data '!P34,"AAAAAF96GXg=")</f>
        <v>#VALUE!</v>
      </c>
      <c r="DR7" t="e">
        <f>AND('Data '!#REF!,"AAAAAF96GXk=")</f>
        <v>#REF!</v>
      </c>
      <c r="DS7" t="e">
        <f>AND('Data '!Q34,"AAAAAF96GXo=")</f>
        <v>#VALUE!</v>
      </c>
      <c r="DT7" t="e">
        <f>AND('Data '!S34,"AAAAAF96GXs=")</f>
        <v>#VALUE!</v>
      </c>
      <c r="DU7" t="e">
        <f>AND('Data '!T34,"AAAAAF96GXw=")</f>
        <v>#VALUE!</v>
      </c>
      <c r="DV7" t="e">
        <f>AND('Data '!U34,"AAAAAF96GX0=")</f>
        <v>#VALUE!</v>
      </c>
      <c r="DW7" t="e">
        <f>AND('Data '!V34,"AAAAAF96GX4=")</f>
        <v>#VALUE!</v>
      </c>
      <c r="DX7" t="e">
        <f>AND('Data '!W34,"AAAAAF96GX8=")</f>
        <v>#VALUE!</v>
      </c>
      <c r="DY7" t="e">
        <f>AND('Data '!X34,"AAAAAF96GYA=")</f>
        <v>#VALUE!</v>
      </c>
      <c r="DZ7" t="e">
        <f>AND('Data '!Y34,"AAAAAF96GYE=")</f>
        <v>#VALUE!</v>
      </c>
      <c r="EA7" t="e">
        <f>AND('Data '!Z34,"AAAAAF96GYI=")</f>
        <v>#VALUE!</v>
      </c>
      <c r="EB7" t="e">
        <f>AND('Data '!AA34,"AAAAAF96GYM=")</f>
        <v>#VALUE!</v>
      </c>
      <c r="EC7" t="e">
        <f>AND('Data '!AB34,"AAAAAF96GYQ=")</f>
        <v>#VALUE!</v>
      </c>
      <c r="ED7" t="e">
        <f>AND('Data '!AC34,"AAAAAF96GYU=")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'!35:35,"AAAAAF96GZA=",0)</f>
        <v>0</v>
      </c>
      <c r="EP7" t="e">
        <f>AND('Data '!A35,"AAAAAF96GZE=")</f>
        <v>#VALUE!</v>
      </c>
      <c r="EQ7" t="e">
        <f>AND('Data '!B35,"AAAAAF96GZI=")</f>
        <v>#VALUE!</v>
      </c>
      <c r="ER7" t="e">
        <f>AND('Data '!C35,"AAAAAF96GZM=")</f>
        <v>#VALUE!</v>
      </c>
      <c r="ES7" t="e">
        <f>AND('Data '!D35,"AAAAAF96GZQ=")</f>
        <v>#VALUE!</v>
      </c>
      <c r="ET7" t="e">
        <f>AND('Data '!E35,"AAAAAF96GZU=")</f>
        <v>#VALUE!</v>
      </c>
      <c r="EU7" t="e">
        <f>AND('Data '!F35,"AAAAAF96GZY=")</f>
        <v>#VALUE!</v>
      </c>
      <c r="EV7" t="e">
        <f>AND('Data '!G35,"AAAAAF96GZc=")</f>
        <v>#VALUE!</v>
      </c>
      <c r="EW7" t="e">
        <f>AND('Data '!H35,"AAAAAF96GZg=")</f>
        <v>#VALUE!</v>
      </c>
      <c r="EX7" t="e">
        <f>AND('Data '!I35,"AAAAAF96GZk=")</f>
        <v>#VALUE!</v>
      </c>
      <c r="EY7" t="e">
        <f>AND('Data '!J35,"AAAAAF96GZo=")</f>
        <v>#VALUE!</v>
      </c>
      <c r="EZ7" t="e">
        <f>AND('Data '!K35,"AAAAAF96GZs=")</f>
        <v>#VALUE!</v>
      </c>
      <c r="FA7" t="e">
        <f>AND('Data '!L35,"AAAAAF96GZw=")</f>
        <v>#VALUE!</v>
      </c>
      <c r="FB7" t="e">
        <f>AND('Data '!M35,"AAAAAF96GZ0=")</f>
        <v>#VALUE!</v>
      </c>
      <c r="FC7" t="e">
        <f>AND('Data '!N35,"AAAAAF96GZ4=")</f>
        <v>#VALUE!</v>
      </c>
      <c r="FD7" t="e">
        <f>AND('Data '!O35,"AAAAAF96GZ8=")</f>
        <v>#VALUE!</v>
      </c>
      <c r="FE7" t="e">
        <f>AND('Data '!P35,"AAAAAF96GaA=")</f>
        <v>#VALUE!</v>
      </c>
      <c r="FF7" t="e">
        <f>AND('Data '!Q35,"AAAAAF96GaE=")</f>
        <v>#VALUE!</v>
      </c>
      <c r="FG7" t="e">
        <f>AND('Data '!R35,"AAAAAF96GaI=")</f>
        <v>#VALUE!</v>
      </c>
      <c r="FH7" t="e">
        <f>AND('Data '!S35,"AAAAAF96GaM=")</f>
        <v>#VALUE!</v>
      </c>
      <c r="FI7" t="e">
        <f>AND('Data '!T35,"AAAAAF96GaQ=")</f>
        <v>#VALUE!</v>
      </c>
      <c r="FJ7" t="e">
        <f>AND('Data '!U35,"AAAAAF96GaU=")</f>
        <v>#VALUE!</v>
      </c>
      <c r="FK7" t="e">
        <f>AND('Data '!V35,"AAAAAF96GaY=")</f>
        <v>#VALUE!</v>
      </c>
      <c r="FL7" t="e">
        <f>AND('Data '!W35,"AAAAAF96Gac=")</f>
        <v>#VALUE!</v>
      </c>
      <c r="FM7" t="e">
        <f>AND('Data '!X35,"AAAAAF96Gag=")</f>
        <v>#VALUE!</v>
      </c>
      <c r="FN7" t="e">
        <f>AND('Data '!Y35,"AAAAAF96Gak=")</f>
        <v>#VALUE!</v>
      </c>
      <c r="FO7" t="e">
        <f>AND('Data '!Z35,"AAAAAF96Gao=")</f>
        <v>#VALUE!</v>
      </c>
      <c r="FP7" t="e">
        <f>AND('Data '!AA35,"AAAAAF96Gas=")</f>
        <v>#VALUE!</v>
      </c>
      <c r="FQ7" t="e">
        <f>AND('Data '!AB35,"AAAAAF96Gaw=")</f>
        <v>#VALUE!</v>
      </c>
      <c r="FR7" t="e">
        <f>AND('Data '!AC35,"AAAAAF96Ga0=")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'!36:36,"AAAAAF96Gbg=",0)</f>
        <v>0</v>
      </c>
      <c r="GD7" t="e">
        <f>AND('Data '!A36,"AAAAAF96Gbk=")</f>
        <v>#VALUE!</v>
      </c>
      <c r="GE7" t="e">
        <f>AND('Data '!B36,"AAAAAF96Gbo=")</f>
        <v>#VALUE!</v>
      </c>
      <c r="GF7" t="e">
        <f>AND('Data '!C36,"AAAAAF96Gbs=")</f>
        <v>#VALUE!</v>
      </c>
      <c r="GG7" t="e">
        <f>AND('Data '!D36,"AAAAAF96Gbw=")</f>
        <v>#VALUE!</v>
      </c>
      <c r="GH7" t="e">
        <f>AND('Data '!E36,"AAAAAF96Gb0=")</f>
        <v>#VALUE!</v>
      </c>
      <c r="GI7" t="e">
        <f>AND('Data '!F36,"AAAAAF96Gb4=")</f>
        <v>#VALUE!</v>
      </c>
      <c r="GJ7" t="e">
        <f>AND('Data '!G36,"AAAAAF96Gb8=")</f>
        <v>#VALUE!</v>
      </c>
      <c r="GK7" t="e">
        <f>AND('Data '!H36,"AAAAAF96GcA=")</f>
        <v>#VALUE!</v>
      </c>
      <c r="GL7" t="e">
        <f>AND('Data '!I36,"AAAAAF96GcE=")</f>
        <v>#VALUE!</v>
      </c>
      <c r="GM7" t="e">
        <f>AND('Data '!J36,"AAAAAF96GcI=")</f>
        <v>#VALUE!</v>
      </c>
      <c r="GN7" t="e">
        <f>AND('Data '!K36,"AAAAAF96GcM=")</f>
        <v>#VALUE!</v>
      </c>
      <c r="GO7" t="e">
        <f>AND('Data '!L36,"AAAAAF96GcQ=")</f>
        <v>#VALUE!</v>
      </c>
      <c r="GP7" t="e">
        <f>AND('Data '!M36,"AAAAAF96GcU=")</f>
        <v>#VALUE!</v>
      </c>
      <c r="GQ7" t="e">
        <f>AND('Data '!N36,"AAAAAF96GcY=")</f>
        <v>#VALUE!</v>
      </c>
      <c r="GR7" t="e">
        <f>AND('Data '!O36,"AAAAAF96Gcc=")</f>
        <v>#VALUE!</v>
      </c>
      <c r="GS7" t="e">
        <f>AND('Data '!P36,"AAAAAF96Gcg=")</f>
        <v>#VALUE!</v>
      </c>
      <c r="GT7" t="e">
        <f>AND('Data '!Q36,"AAAAAF96Gck=")</f>
        <v>#VALUE!</v>
      </c>
      <c r="GU7" t="e">
        <f>AND('Data '!R36,"AAAAAF96Gco=")</f>
        <v>#VALUE!</v>
      </c>
      <c r="GV7" t="e">
        <f>AND('Data '!S36,"AAAAAF96Gcs=")</f>
        <v>#VALUE!</v>
      </c>
      <c r="GW7" t="e">
        <f>AND('Data '!T36,"AAAAAF96Gcw=")</f>
        <v>#VALUE!</v>
      </c>
      <c r="GX7" t="e">
        <f>AND('Data '!U36,"AAAAAF96Gc0=")</f>
        <v>#VALUE!</v>
      </c>
      <c r="GY7" t="e">
        <f>AND('Data '!V36,"AAAAAF96Gc4=")</f>
        <v>#VALUE!</v>
      </c>
      <c r="GZ7" t="e">
        <f>AND('Data '!W36,"AAAAAF96Gc8=")</f>
        <v>#VALUE!</v>
      </c>
      <c r="HA7" t="e">
        <f>AND('Data '!X36,"AAAAAF96GdA=")</f>
        <v>#VALUE!</v>
      </c>
      <c r="HB7" t="e">
        <f>AND('Data '!Y36,"AAAAAF96GdE=")</f>
        <v>#VALUE!</v>
      </c>
      <c r="HC7" t="e">
        <f>AND('Data '!Z36,"AAAAAF96GdI=")</f>
        <v>#VALUE!</v>
      </c>
      <c r="HD7" t="e">
        <f>AND('Data '!AA36,"AAAAAF96GdM=")</f>
        <v>#VALUE!</v>
      </c>
      <c r="HE7" t="e">
        <f>AND('Data '!AB36,"AAAAAF96GdQ=")</f>
        <v>#VALUE!</v>
      </c>
      <c r="HF7" t="e">
        <f>AND('Data '!AC36,"AAAAAF96GdU=")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'!37:37,"AAAAAF96GeA=",0)</f>
        <v>0</v>
      </c>
      <c r="HR7" t="e">
        <f>AND('Data '!A37,"AAAAAF96GeE=")</f>
        <v>#VALUE!</v>
      </c>
      <c r="HS7" t="e">
        <f>AND('Data '!B37,"AAAAAF96GeI=")</f>
        <v>#VALUE!</v>
      </c>
      <c r="HT7" t="e">
        <f>AND('Data '!C37,"AAAAAF96GeM=")</f>
        <v>#VALUE!</v>
      </c>
      <c r="HU7" t="e">
        <f>AND('Data '!D37,"AAAAAF96GeQ=")</f>
        <v>#VALUE!</v>
      </c>
      <c r="HV7" t="e">
        <f>AND('Data '!E37,"AAAAAF96GeU=")</f>
        <v>#VALUE!</v>
      </c>
      <c r="HW7" t="e">
        <f>AND('Data '!F37,"AAAAAF96GeY=")</f>
        <v>#VALUE!</v>
      </c>
      <c r="HX7" t="e">
        <f>AND('Data '!G37,"AAAAAF96Gec=")</f>
        <v>#VALUE!</v>
      </c>
      <c r="HY7" t="e">
        <f>AND('Data '!H37,"AAAAAF96Geg=")</f>
        <v>#VALUE!</v>
      </c>
      <c r="HZ7" t="e">
        <f>AND('Data '!I37,"AAAAAF96Gek=")</f>
        <v>#VALUE!</v>
      </c>
      <c r="IA7" t="e">
        <f>AND('Data '!J37,"AAAAAF96Geo=")</f>
        <v>#VALUE!</v>
      </c>
      <c r="IB7" t="e">
        <f>AND('Data '!K37,"AAAAAF96Ges=")</f>
        <v>#VALUE!</v>
      </c>
      <c r="IC7" t="e">
        <f>AND('Data '!L37,"AAAAAF96Gew=")</f>
        <v>#VALUE!</v>
      </c>
      <c r="ID7" t="e">
        <f>AND('Data '!M37,"AAAAAF96Ge0=")</f>
        <v>#VALUE!</v>
      </c>
      <c r="IE7" t="e">
        <f>AND('Data '!N37,"AAAAAF96Ge4=")</f>
        <v>#VALUE!</v>
      </c>
      <c r="IF7" t="e">
        <f>AND('Data '!O37,"AAAAAF96Ge8=")</f>
        <v>#VALUE!</v>
      </c>
      <c r="IG7" t="e">
        <f>AND('Data '!P37,"AAAAAF96GfA=")</f>
        <v>#VALUE!</v>
      </c>
      <c r="IH7" t="e">
        <f>AND('Data '!Q37,"AAAAAF96GfE=")</f>
        <v>#VALUE!</v>
      </c>
      <c r="II7" t="e">
        <f>AND('Data '!R37,"AAAAAF96GfI=")</f>
        <v>#VALUE!</v>
      </c>
      <c r="IJ7" t="e">
        <f>AND('Data '!S37,"AAAAAF96GfM=")</f>
        <v>#VALUE!</v>
      </c>
      <c r="IK7" t="e">
        <f>AND('Data '!T37,"AAAAAF96GfQ=")</f>
        <v>#VALUE!</v>
      </c>
      <c r="IL7" t="e">
        <f>AND('Data '!U37,"AAAAAF96GfU=")</f>
        <v>#VALUE!</v>
      </c>
      <c r="IM7" t="e">
        <f>AND('Data '!V37,"AAAAAF96GfY=")</f>
        <v>#VALUE!</v>
      </c>
      <c r="IN7" t="e">
        <f>AND('Data '!W37,"AAAAAF96Gfc=")</f>
        <v>#VALUE!</v>
      </c>
      <c r="IO7" t="e">
        <f>AND('Data '!X37,"AAAAAF96Gfg=")</f>
        <v>#VALUE!</v>
      </c>
      <c r="IP7" t="e">
        <f>AND('Data '!Y37,"AAAAAF96Gfk=")</f>
        <v>#VALUE!</v>
      </c>
      <c r="IQ7" t="e">
        <f>AND('Data '!Z37,"AAAAAF96Gfo=")</f>
        <v>#VALUE!</v>
      </c>
      <c r="IR7" t="e">
        <f>AND('Data '!AA37,"AAAAAF96Gfs=")</f>
        <v>#VALUE!</v>
      </c>
      <c r="IS7" t="e">
        <f>AND('Data '!AB37,"AAAAAF96Gfw=")</f>
        <v>#VALUE!</v>
      </c>
      <c r="IT7" t="e">
        <f>AND('Data '!AC37,"AAAAAF96Gf0=")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'!38:38,"AAAAADmfpwg=",0)</f>
        <v>AAAAADmfpwg=</v>
      </c>
      <c r="J8" t="e">
        <f>AND('Data '!A38,"AAAAADmfpwk=")</f>
        <v>#VALUE!</v>
      </c>
      <c r="K8" t="e">
        <f>AND('Data '!B38,"AAAAADmfpwo=")</f>
        <v>#VALUE!</v>
      </c>
      <c r="L8" t="e">
        <f>AND('Data '!C38,"AAAAADmfpws=")</f>
        <v>#VALUE!</v>
      </c>
      <c r="M8" t="e">
        <f>AND('Data '!D38,"AAAAADmfpww=")</f>
        <v>#VALUE!</v>
      </c>
      <c r="N8" t="e">
        <f>AND('Data '!E38,"AAAAADmfpw0=")</f>
        <v>#VALUE!</v>
      </c>
      <c r="O8" t="e">
        <f>AND('Data '!F38,"AAAAADmfpw4=")</f>
        <v>#VALUE!</v>
      </c>
      <c r="P8" t="e">
        <f>AND('Data '!G38,"AAAAADmfpw8=")</f>
        <v>#VALUE!</v>
      </c>
      <c r="Q8" t="e">
        <f>AND('Data '!H38,"AAAAADmfpxA=")</f>
        <v>#VALUE!</v>
      </c>
      <c r="R8" t="e">
        <f>AND('Data '!I38,"AAAAADmfpxE=")</f>
        <v>#VALUE!</v>
      </c>
      <c r="S8" t="e">
        <f>AND('Data '!J38,"AAAAADmfpxI=")</f>
        <v>#VALUE!</v>
      </c>
      <c r="T8" t="e">
        <f>AND('Data '!K38,"AAAAADmfpxM=")</f>
        <v>#VALUE!</v>
      </c>
      <c r="U8" t="e">
        <f>AND('Data '!L38,"AAAAADmfpxQ=")</f>
        <v>#VALUE!</v>
      </c>
      <c r="V8" t="e">
        <f>AND('Data '!M38,"AAAAADmfpxU=")</f>
        <v>#VALUE!</v>
      </c>
      <c r="W8" t="e">
        <f>AND('Data '!N38,"AAAAADmfpxY=")</f>
        <v>#VALUE!</v>
      </c>
      <c r="X8" t="e">
        <f>AND('Data '!O38,"AAAAADmfpxc=")</f>
        <v>#VALUE!</v>
      </c>
      <c r="Y8" t="e">
        <f>AND('Data '!P38,"AAAAADmfpxg=")</f>
        <v>#VALUE!</v>
      </c>
      <c r="Z8" t="e">
        <f>AND('Data '!Q38,"AAAAADmfpxk=")</f>
        <v>#VALUE!</v>
      </c>
      <c r="AA8" t="e">
        <f>AND('Data '!R38,"AAAAADmfpxo=")</f>
        <v>#VALUE!</v>
      </c>
      <c r="AB8" t="e">
        <f>AND('Data '!S38,"AAAAADmfpxs=")</f>
        <v>#VALUE!</v>
      </c>
      <c r="AC8" t="e">
        <f>AND('Data '!T38,"AAAAADmfpxw=")</f>
        <v>#VALUE!</v>
      </c>
      <c r="AD8" t="e">
        <f>AND('Data '!U38,"AAAAADmfpx0=")</f>
        <v>#VALUE!</v>
      </c>
      <c r="AE8" t="e">
        <f>AND('Data '!V38,"AAAAADmfpx4=")</f>
        <v>#VALUE!</v>
      </c>
      <c r="AF8" t="e">
        <f>AND('Data '!W38,"AAAAADmfpx8=")</f>
        <v>#VALUE!</v>
      </c>
      <c r="AG8" t="e">
        <f>AND('Data '!X38,"AAAAADmfpyA=")</f>
        <v>#VALUE!</v>
      </c>
      <c r="AH8" t="e">
        <f>AND('Data '!Y38,"AAAAADmfpyE=")</f>
        <v>#VALUE!</v>
      </c>
      <c r="AI8" t="e">
        <f>AND('Data '!Z38,"AAAAADmfpyI=")</f>
        <v>#VALUE!</v>
      </c>
      <c r="AJ8" t="e">
        <f>AND('Data '!AA38,"AAAAADmfpyM=")</f>
        <v>#VALUE!</v>
      </c>
      <c r="AK8" t="e">
        <f>AND('Data '!AB38,"AAAAADmfpyQ=")</f>
        <v>#VALUE!</v>
      </c>
      <c r="AL8" t="e">
        <f>AND('Data '!AC38,"AAAAADmfpyU=")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'!39:39,"AAAAADmfpzA=",0)</f>
        <v>0</v>
      </c>
      <c r="AX8" t="e">
        <f>AND('Data '!A39,"AAAAADmfpzE=")</f>
        <v>#VALUE!</v>
      </c>
      <c r="AY8" t="e">
        <f>AND('Data '!B39,"AAAAADmfpzI=")</f>
        <v>#VALUE!</v>
      </c>
      <c r="AZ8" t="e">
        <f>AND('Data '!C39,"AAAAADmfpzM=")</f>
        <v>#VALUE!</v>
      </c>
      <c r="BA8" t="e">
        <f>AND('Data '!D39,"AAAAADmfpzQ=")</f>
        <v>#VALUE!</v>
      </c>
      <c r="BB8" t="e">
        <f>AND('Data '!E39,"AAAAADmfpzU=")</f>
        <v>#VALUE!</v>
      </c>
      <c r="BC8" t="e">
        <f>AND('Data '!F39,"AAAAADmfpzY=")</f>
        <v>#VALUE!</v>
      </c>
      <c r="BD8" t="e">
        <f>AND('Data '!G39,"AAAAADmfpzc=")</f>
        <v>#VALUE!</v>
      </c>
      <c r="BE8" t="e">
        <f>AND('Data '!H39,"AAAAADmfpzg=")</f>
        <v>#VALUE!</v>
      </c>
      <c r="BF8" t="e">
        <f>AND('Data '!I39,"AAAAADmfpzk=")</f>
        <v>#VALUE!</v>
      </c>
      <c r="BG8" t="e">
        <f>AND('Data '!J39,"AAAAADmfpzo=")</f>
        <v>#VALUE!</v>
      </c>
      <c r="BH8" t="e">
        <f>AND('Data '!K39,"AAAAADmfpzs=")</f>
        <v>#VALUE!</v>
      </c>
      <c r="BI8" t="e">
        <f>AND('Data '!L39,"AAAAADmfpzw=")</f>
        <v>#VALUE!</v>
      </c>
      <c r="BJ8" t="e">
        <f>AND('Data '!M39,"AAAAADmfpz0=")</f>
        <v>#VALUE!</v>
      </c>
      <c r="BK8" t="e">
        <f>AND('Data '!N39,"AAAAADmfpz4=")</f>
        <v>#VALUE!</v>
      </c>
      <c r="BL8" t="e">
        <f>AND('Data '!O39,"AAAAADmfpz8=")</f>
        <v>#VALUE!</v>
      </c>
      <c r="BM8" t="e">
        <f>AND('Data '!P39,"AAAAADmfp0A=")</f>
        <v>#VALUE!</v>
      </c>
      <c r="BN8" t="e">
        <f>AND('Data '!Q39,"AAAAADmfp0E=")</f>
        <v>#VALUE!</v>
      </c>
      <c r="BO8" t="e">
        <f>AND('Data '!R39,"AAAAADmfp0I=")</f>
        <v>#VALUE!</v>
      </c>
      <c r="BP8" t="e">
        <f>AND('Data '!S39,"AAAAADmfp0M=")</f>
        <v>#VALUE!</v>
      </c>
      <c r="BQ8" t="e">
        <f>AND('Data '!T39,"AAAAADmfp0Q=")</f>
        <v>#VALUE!</v>
      </c>
      <c r="BR8" t="e">
        <f>AND('Data '!U39,"AAAAADmfp0U=")</f>
        <v>#VALUE!</v>
      </c>
      <c r="BS8" t="e">
        <f>AND('Data '!V39,"AAAAADmfp0Y=")</f>
        <v>#VALUE!</v>
      </c>
      <c r="BT8" t="e">
        <f>AND('Data '!W39,"AAAAADmfp0c=")</f>
        <v>#VALUE!</v>
      </c>
      <c r="BU8" t="e">
        <f>AND('Data '!X39,"AAAAADmfp0g=")</f>
        <v>#VALUE!</v>
      </c>
      <c r="BV8" t="e">
        <f>AND('Data '!Y39,"AAAAADmfp0k=")</f>
        <v>#VALUE!</v>
      </c>
      <c r="BW8" t="e">
        <f>AND('Data '!Z39,"AAAAADmfp0o=")</f>
        <v>#VALUE!</v>
      </c>
      <c r="BX8" t="e">
        <f>AND('Data '!AA39,"AAAAADmfp0s=")</f>
        <v>#VALUE!</v>
      </c>
      <c r="BY8" t="e">
        <f>AND('Data '!AB39,"AAAAADmfp0w=")</f>
        <v>#VALUE!</v>
      </c>
      <c r="BZ8" t="e">
        <f>AND('Data '!AC39,"AAAAADmfp00=")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'!40:40,"AAAAADmfp1g=",0)</f>
        <v>0</v>
      </c>
      <c r="CL8" t="e">
        <f>AND('Data '!A40,"AAAAADmfp1k=")</f>
        <v>#VALUE!</v>
      </c>
      <c r="CM8" t="e">
        <f>AND('Data '!B40,"AAAAADmfp1o=")</f>
        <v>#VALUE!</v>
      </c>
      <c r="CN8" t="e">
        <f>AND('Data '!C40,"AAAAADmfp1s=")</f>
        <v>#VALUE!</v>
      </c>
      <c r="CO8" t="e">
        <f>AND('Data '!D40,"AAAAADmfp1w=")</f>
        <v>#VALUE!</v>
      </c>
      <c r="CP8" t="e">
        <f>AND('Data '!E40,"AAAAADmfp10=")</f>
        <v>#VALUE!</v>
      </c>
      <c r="CQ8" t="e">
        <f>AND('Data '!F40,"AAAAADmfp14=")</f>
        <v>#VALUE!</v>
      </c>
      <c r="CR8" t="e">
        <f>AND('Data '!G40,"AAAAADmfp18=")</f>
        <v>#VALUE!</v>
      </c>
      <c r="CS8" t="e">
        <f>AND('Data '!H40,"AAAAADmfp2A=")</f>
        <v>#VALUE!</v>
      </c>
      <c r="CT8" t="e">
        <f>AND('Data '!I40,"AAAAADmfp2E=")</f>
        <v>#VALUE!</v>
      </c>
      <c r="CU8" t="e">
        <f>AND('Data '!J40,"AAAAADmfp2I=")</f>
        <v>#VALUE!</v>
      </c>
      <c r="CV8" t="e">
        <f>AND('Data '!K40,"AAAAADmfp2M=")</f>
        <v>#VALUE!</v>
      </c>
      <c r="CW8" t="e">
        <f>AND('Data '!L40,"AAAAADmfp2Q=")</f>
        <v>#VALUE!</v>
      </c>
      <c r="CX8" t="e">
        <f>AND('Data '!M40,"AAAAADmfp2U=")</f>
        <v>#VALUE!</v>
      </c>
      <c r="CY8" t="e">
        <f>AND('Data '!N40,"AAAAADmfp2Y=")</f>
        <v>#VALUE!</v>
      </c>
      <c r="CZ8" t="e">
        <f>AND('Data '!O40,"AAAAADmfp2c=")</f>
        <v>#VALUE!</v>
      </c>
      <c r="DA8" t="e">
        <f>AND('Data '!P40,"AAAAADmfp2g=")</f>
        <v>#VALUE!</v>
      </c>
      <c r="DB8" t="e">
        <f>AND('Data '!Q40,"AAAAADmfp2k=")</f>
        <v>#VALUE!</v>
      </c>
      <c r="DC8" t="e">
        <f>AND('Data '!R40,"AAAAADmfp2o=")</f>
        <v>#VALUE!</v>
      </c>
      <c r="DD8" t="e">
        <f>AND('Data '!S40,"AAAAADmfp2s=")</f>
        <v>#VALUE!</v>
      </c>
      <c r="DE8" t="e">
        <f>AND('Data '!T40,"AAAAADmfp2w=")</f>
        <v>#VALUE!</v>
      </c>
      <c r="DF8" t="e">
        <f>AND('Data '!U40,"AAAAADmfp20=")</f>
        <v>#VALUE!</v>
      </c>
      <c r="DG8" t="e">
        <f>AND('Data '!V40,"AAAAADmfp24=")</f>
        <v>#VALUE!</v>
      </c>
      <c r="DH8" t="e">
        <f>AND('Data '!W40,"AAAAADmfp28=")</f>
        <v>#VALUE!</v>
      </c>
      <c r="DI8" t="e">
        <f>AND('Data '!X40,"AAAAADmfp3A=")</f>
        <v>#VALUE!</v>
      </c>
      <c r="DJ8" t="e">
        <f>AND('Data '!Y40,"AAAAADmfp3E=")</f>
        <v>#VALUE!</v>
      </c>
      <c r="DK8" t="e">
        <f>AND('Data '!Z40,"AAAAADmfp3I=")</f>
        <v>#VALUE!</v>
      </c>
      <c r="DL8" t="e">
        <f>AND('Data '!AA40,"AAAAADmfp3M=")</f>
        <v>#VALUE!</v>
      </c>
      <c r="DM8" t="e">
        <f>AND('Data '!AB40,"AAAAADmfp3Q=")</f>
        <v>#VALUE!</v>
      </c>
      <c r="DN8" t="e">
        <f>AND('Data '!AC40,"AAAAADmfp3U=")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'!41:41,"AAAAADmfp4A=",0)</f>
        <v>0</v>
      </c>
      <c r="DZ8" t="e">
        <f>AND('Data '!A41,"AAAAADmfp4E=")</f>
        <v>#VALUE!</v>
      </c>
      <c r="EA8" t="e">
        <f>AND('Data '!B41,"AAAAADmfp4I=")</f>
        <v>#VALUE!</v>
      </c>
      <c r="EB8" t="e">
        <f>AND('Data '!C41,"AAAAADmfp4M=")</f>
        <v>#VALUE!</v>
      </c>
      <c r="EC8" t="e">
        <f>AND('Data '!D41,"AAAAADmfp4Q=")</f>
        <v>#VALUE!</v>
      </c>
      <c r="ED8" t="e">
        <f>AND('Data '!E41,"AAAAADmfp4U=")</f>
        <v>#VALUE!</v>
      </c>
      <c r="EE8" t="e">
        <f>AND('Data '!F41,"AAAAADmfp4Y=")</f>
        <v>#VALUE!</v>
      </c>
      <c r="EF8" t="e">
        <f>AND('Data '!G41,"AAAAADmfp4c=")</f>
        <v>#VALUE!</v>
      </c>
      <c r="EG8" t="e">
        <f>AND('Data '!H41,"AAAAADmfp4g=")</f>
        <v>#VALUE!</v>
      </c>
      <c r="EH8" t="e">
        <f>AND('Data '!I41,"AAAAADmfp4k=")</f>
        <v>#VALUE!</v>
      </c>
      <c r="EI8" t="e">
        <f>AND('Data '!J41,"AAAAADmfp4o=")</f>
        <v>#VALUE!</v>
      </c>
      <c r="EJ8" t="e">
        <f>AND('Data '!K41,"AAAAADmfp4s=")</f>
        <v>#VALUE!</v>
      </c>
      <c r="EK8" t="e">
        <f>AND('Data '!L41,"AAAAADmfp4w=")</f>
        <v>#VALUE!</v>
      </c>
      <c r="EL8" t="e">
        <f>AND('Data '!M41,"AAAAADmfp40=")</f>
        <v>#VALUE!</v>
      </c>
      <c r="EM8" t="e">
        <f>AND('Data '!N41,"AAAAADmfp44=")</f>
        <v>#VALUE!</v>
      </c>
      <c r="EN8" t="e">
        <f>AND('Data '!O41,"AAAAADmfp48=")</f>
        <v>#VALUE!</v>
      </c>
      <c r="EO8" t="e">
        <f>AND('Data '!P41,"AAAAADmfp5A=")</f>
        <v>#VALUE!</v>
      </c>
      <c r="EP8" t="e">
        <f>AND('Data '!Q41,"AAAAADmfp5E=")</f>
        <v>#VALUE!</v>
      </c>
      <c r="EQ8" t="e">
        <f>AND('Data '!R41,"AAAAADmfp5I=")</f>
        <v>#VALUE!</v>
      </c>
      <c r="ER8" t="e">
        <f>AND('Data '!S41,"AAAAADmfp5M=")</f>
        <v>#VALUE!</v>
      </c>
      <c r="ES8" t="e">
        <f>AND('Data '!T41,"AAAAADmfp5Q=")</f>
        <v>#VALUE!</v>
      </c>
      <c r="ET8" t="e">
        <f>AND('Data '!U41,"AAAAADmfp5U=")</f>
        <v>#VALUE!</v>
      </c>
      <c r="EU8" t="e">
        <f>AND('Data '!V41,"AAAAADmfp5Y=")</f>
        <v>#VALUE!</v>
      </c>
      <c r="EV8" t="e">
        <f>AND('Data '!W41,"AAAAADmfp5c=")</f>
        <v>#VALUE!</v>
      </c>
      <c r="EW8" t="e">
        <f>AND('Data '!X41,"AAAAADmfp5g=")</f>
        <v>#VALUE!</v>
      </c>
      <c r="EX8" t="e">
        <f>AND('Data '!Y41,"AAAAADmfp5k=")</f>
        <v>#VALUE!</v>
      </c>
      <c r="EY8" t="e">
        <f>AND('Data '!Z41,"AAAAADmfp5o=")</f>
        <v>#VALUE!</v>
      </c>
      <c r="EZ8" t="e">
        <f>AND('Data '!AA41,"AAAAADmfp5s=")</f>
        <v>#VALUE!</v>
      </c>
      <c r="FA8" t="e">
        <f>AND('Data '!AB41,"AAAAADmfp5w=")</f>
        <v>#VALUE!</v>
      </c>
      <c r="FB8" t="e">
        <f>AND('Data '!AC41,"AAAAADmfp50=")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'!42:42,"AAAAADmfp6g=",0)</f>
        <v>0</v>
      </c>
      <c r="FN8" t="e">
        <f>AND('Data '!A42,"AAAAADmfp6k=")</f>
        <v>#VALUE!</v>
      </c>
      <c r="FO8" t="e">
        <f>AND('Data '!B42,"AAAAADmfp6o=")</f>
        <v>#VALUE!</v>
      </c>
      <c r="FP8" t="e">
        <f>AND('Data '!C42,"AAAAADmfp6s=")</f>
        <v>#VALUE!</v>
      </c>
      <c r="FQ8" t="e">
        <f>AND('Data '!D42,"AAAAADmfp6w=")</f>
        <v>#VALUE!</v>
      </c>
      <c r="FR8" t="e">
        <f>AND('Data '!E42,"AAAAADmfp60=")</f>
        <v>#VALUE!</v>
      </c>
      <c r="FS8" t="e">
        <f>AND('Data '!F42,"AAAAADmfp64=")</f>
        <v>#VALUE!</v>
      </c>
      <c r="FT8" t="e">
        <f>AND('Data '!G42,"AAAAADmfp68=")</f>
        <v>#VALUE!</v>
      </c>
      <c r="FU8" t="e">
        <f>AND('Data '!H42,"AAAAADmfp7A=")</f>
        <v>#VALUE!</v>
      </c>
      <c r="FV8" t="e">
        <f>AND('Data '!I42,"AAAAADmfp7E=")</f>
        <v>#VALUE!</v>
      </c>
      <c r="FW8" t="e">
        <f>AND('Data '!J42,"AAAAADmfp7I=")</f>
        <v>#VALUE!</v>
      </c>
      <c r="FX8" t="e">
        <f>AND('Data '!K42,"AAAAADmfp7M=")</f>
        <v>#VALUE!</v>
      </c>
      <c r="FY8" t="e">
        <f>AND('Data '!L42,"AAAAADmfp7Q=")</f>
        <v>#VALUE!</v>
      </c>
      <c r="FZ8" t="e">
        <f>AND('Data '!M42,"AAAAADmfp7U=")</f>
        <v>#VALUE!</v>
      </c>
      <c r="GA8" t="e">
        <f>AND('Data '!N42,"AAAAADmfp7Y=")</f>
        <v>#VALUE!</v>
      </c>
      <c r="GB8" t="e">
        <f>AND('Data '!O42,"AAAAADmfp7c=")</f>
        <v>#VALUE!</v>
      </c>
      <c r="GC8" t="e">
        <f>AND('Data '!P42,"AAAAADmfp7g=")</f>
        <v>#VALUE!</v>
      </c>
      <c r="GD8" t="e">
        <f>AND('Data '!Q42,"AAAAADmfp7k=")</f>
        <v>#VALUE!</v>
      </c>
      <c r="GE8" t="e">
        <f>AND('Data '!R42,"AAAAADmfp7o=")</f>
        <v>#VALUE!</v>
      </c>
      <c r="GF8" t="e">
        <f>AND('Data '!S42,"AAAAADmfp7s=")</f>
        <v>#VALUE!</v>
      </c>
      <c r="GG8" t="e">
        <f>AND('Data '!T42,"AAAAADmfp7w=")</f>
        <v>#VALUE!</v>
      </c>
      <c r="GH8" t="e">
        <f>AND('Data '!U42,"AAAAADmfp70=")</f>
        <v>#VALUE!</v>
      </c>
      <c r="GI8" t="e">
        <f>AND('Data '!V42,"AAAAADmfp74=")</f>
        <v>#VALUE!</v>
      </c>
      <c r="GJ8" t="e">
        <f>AND('Data '!W42,"AAAAADmfp78=")</f>
        <v>#VALUE!</v>
      </c>
      <c r="GK8" t="e">
        <f>AND('Data '!X42,"AAAAADmfp8A=")</f>
        <v>#VALUE!</v>
      </c>
      <c r="GL8" t="e">
        <f>AND('Data '!Y42,"AAAAADmfp8E=")</f>
        <v>#VALUE!</v>
      </c>
      <c r="GM8" t="e">
        <f>AND('Data '!Z42,"AAAAADmfp8I=")</f>
        <v>#VALUE!</v>
      </c>
      <c r="GN8" t="e">
        <f>AND('Data '!AA42,"AAAAADmfp8M=")</f>
        <v>#VALUE!</v>
      </c>
      <c r="GO8" t="e">
        <f>AND('Data '!AB42,"AAAAADmfp8Q=")</f>
        <v>#VALUE!</v>
      </c>
      <c r="GP8" t="e">
        <f>AND('Data '!AC42,"AAAAADmfp8U=")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'!43:43,"AAAAADmfp9A=",0)</f>
        <v>0</v>
      </c>
      <c r="HB8" t="e">
        <f>AND('Data '!A43,"AAAAADmfp9E=")</f>
        <v>#VALUE!</v>
      </c>
      <c r="HC8" t="e">
        <f>AND('Data '!B43,"AAAAADmfp9I=")</f>
        <v>#VALUE!</v>
      </c>
      <c r="HD8" t="e">
        <f>AND('Data '!C43,"AAAAADmfp9M=")</f>
        <v>#VALUE!</v>
      </c>
      <c r="HE8" t="e">
        <f>AND('Data '!D43,"AAAAADmfp9Q=")</f>
        <v>#VALUE!</v>
      </c>
      <c r="HF8" t="e">
        <f>AND('Data '!E43,"AAAAADmfp9U=")</f>
        <v>#VALUE!</v>
      </c>
      <c r="HG8" t="e">
        <f>AND('Data '!F43,"AAAAADmfp9Y=")</f>
        <v>#VALUE!</v>
      </c>
      <c r="HH8" t="e">
        <f>AND('Data '!G43,"AAAAADmfp9c=")</f>
        <v>#VALUE!</v>
      </c>
      <c r="HI8" t="e">
        <f>AND('Data '!H43,"AAAAADmfp9g=")</f>
        <v>#VALUE!</v>
      </c>
      <c r="HJ8" t="e">
        <f>AND('Data '!I43,"AAAAADmfp9k=")</f>
        <v>#VALUE!</v>
      </c>
      <c r="HK8" t="e">
        <f>AND('Data '!J43,"AAAAADmfp9o=")</f>
        <v>#VALUE!</v>
      </c>
      <c r="HL8" t="e">
        <f>AND('Data '!K43,"AAAAADmfp9s=")</f>
        <v>#VALUE!</v>
      </c>
      <c r="HM8" t="e">
        <f>AND('Data '!L43,"AAAAADmfp9w=")</f>
        <v>#VALUE!</v>
      </c>
      <c r="HN8" t="e">
        <f>AND('Data '!M43,"AAAAADmfp90=")</f>
        <v>#VALUE!</v>
      </c>
      <c r="HO8" t="e">
        <f>AND('Data '!N43,"AAAAADmfp94=")</f>
        <v>#VALUE!</v>
      </c>
      <c r="HP8" t="e">
        <f>AND('Data '!O43,"AAAAADmfp98=")</f>
        <v>#VALUE!</v>
      </c>
      <c r="HQ8" t="e">
        <f>AND('Data '!P43,"AAAAADmfp+A=")</f>
        <v>#VALUE!</v>
      </c>
      <c r="HR8" t="e">
        <f>AND('Data '!Q43,"AAAAADmfp+E=")</f>
        <v>#VALUE!</v>
      </c>
      <c r="HS8" t="e">
        <f>AND('Data '!R43,"AAAAADmfp+I=")</f>
        <v>#VALUE!</v>
      </c>
      <c r="HT8" t="e">
        <f>AND('Data '!S43,"AAAAADmfp+M=")</f>
        <v>#VALUE!</v>
      </c>
      <c r="HU8" t="e">
        <f>AND('Data '!T43,"AAAAADmfp+Q=")</f>
        <v>#VALUE!</v>
      </c>
      <c r="HV8" t="e">
        <f>AND('Data '!U43,"AAAAADmfp+U=")</f>
        <v>#VALUE!</v>
      </c>
      <c r="HW8" t="e">
        <f>AND('Data '!V43,"AAAAADmfp+Y=")</f>
        <v>#VALUE!</v>
      </c>
      <c r="HX8" t="e">
        <f>AND('Data '!W43,"AAAAADmfp+c=")</f>
        <v>#VALUE!</v>
      </c>
      <c r="HY8" t="e">
        <f>AND('Data '!X43,"AAAAADmfp+g=")</f>
        <v>#VALUE!</v>
      </c>
      <c r="HZ8" t="e">
        <f>AND('Data '!Y43,"AAAAADmfp+k=")</f>
        <v>#VALUE!</v>
      </c>
      <c r="IA8" t="e">
        <f>AND('Data '!Z43,"AAAAADmfp+o=")</f>
        <v>#VALUE!</v>
      </c>
      <c r="IB8" t="e">
        <f>AND('Data '!AA43,"AAAAADmfp+s=")</f>
        <v>#VALUE!</v>
      </c>
      <c r="IC8" t="e">
        <f>AND('Data '!AB43,"AAAAADmfp+w=")</f>
        <v>#VALUE!</v>
      </c>
      <c r="ID8" t="e">
        <f>AND('Data '!AC43,"AAAAADmfp+0=")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'!44:44,"AAAAADmfp/g=",0)</f>
        <v>0</v>
      </c>
      <c r="IP8" t="e">
        <f>AND('Data '!A44,"AAAAADmfp/k=")</f>
        <v>#VALUE!</v>
      </c>
      <c r="IQ8" t="e">
        <f>AND('Data '!B44,"AAAAADmfp/o=")</f>
        <v>#VALUE!</v>
      </c>
      <c r="IR8" t="e">
        <f>AND('Data '!C44,"AAAAADmfp/s=")</f>
        <v>#VALUE!</v>
      </c>
      <c r="IS8" t="e">
        <f>AND('Data '!D44,"AAAAADmfp/w=")</f>
        <v>#VALUE!</v>
      </c>
      <c r="IT8" t="e">
        <f>AND('Data '!E44,"AAAAADmfp/0=")</f>
        <v>#VALUE!</v>
      </c>
      <c r="IU8" t="e">
        <f>AND('Data '!F44,"AAAAADmfp/4=")</f>
        <v>#VALUE!</v>
      </c>
      <c r="IV8" t="e">
        <f>AND('Data '!G44,"AAAAADmfp/8=")</f>
        <v>#VALUE!</v>
      </c>
    </row>
    <row r="9" spans="1:256" x14ac:dyDescent="0.2">
      <c r="A9" t="e">
        <f>AND('Data '!H44,"AAAAAF/z/gA=")</f>
        <v>#VALUE!</v>
      </c>
      <c r="B9" t="e">
        <f>AND('Data '!I44,"AAAAAF/z/gE=")</f>
        <v>#VALUE!</v>
      </c>
      <c r="C9">
        <f>IF('Data '!45:45,"AAAAAF/z/gI=",0)</f>
        <v>0</v>
      </c>
      <c r="D9" t="e">
        <f>AND('Data '!A45,"AAAAAF/z/gM=")</f>
        <v>#VALUE!</v>
      </c>
      <c r="E9" t="e">
        <f>AND('Data '!B45,"AAAAAF/z/gQ=")</f>
        <v>#VALUE!</v>
      </c>
      <c r="F9" t="e">
        <f>AND('Data '!C45,"AAAAAF/z/gU=")</f>
        <v>#VALUE!</v>
      </c>
      <c r="G9" t="e">
        <f>AND('Data '!D45,"AAAAAF/z/gY=")</f>
        <v>#VALUE!</v>
      </c>
      <c r="H9" t="e">
        <f>AND('Data '!E45,"AAAAAF/z/gc=")</f>
        <v>#VALUE!</v>
      </c>
      <c r="I9" t="e">
        <f>AND('Data '!F45,"AAAAAF/z/gg=")</f>
        <v>#VALUE!</v>
      </c>
      <c r="J9" t="e">
        <f>AND('Data '!G45,"AAAAAF/z/gk=")</f>
        <v>#VALUE!</v>
      </c>
      <c r="K9" t="e">
        <f>AND('Data '!H45,"AAAAAF/z/go=")</f>
        <v>#VALUE!</v>
      </c>
      <c r="L9" t="e">
        <f>AND('Data '!I45,"AAAAAF/z/gs=")</f>
        <v>#VALUE!</v>
      </c>
      <c r="M9">
        <f>IF('Data '!46:46,"AAAAAF/z/gw=",0)</f>
        <v>0</v>
      </c>
      <c r="N9" t="e">
        <f>AND('Data '!A46,"AAAAAF/z/g0=")</f>
        <v>#VALUE!</v>
      </c>
      <c r="O9" t="e">
        <f>AND('Data '!B46,"AAAAAF/z/g4=")</f>
        <v>#VALUE!</v>
      </c>
      <c r="P9" t="e">
        <f>AND('Data '!C46,"AAAAAF/z/g8=")</f>
        <v>#VALUE!</v>
      </c>
      <c r="Q9" t="e">
        <f>AND('Data '!D46,"AAAAAF/z/hA=")</f>
        <v>#VALUE!</v>
      </c>
      <c r="R9" t="e">
        <f>AND('Data '!E46,"AAAAAF/z/hE=")</f>
        <v>#VALUE!</v>
      </c>
      <c r="S9" t="e">
        <f>AND('Data '!F46,"AAAAAF/z/hI=")</f>
        <v>#VALUE!</v>
      </c>
      <c r="T9" t="e">
        <f>AND('Data '!G46,"AAAAAF/z/hM=")</f>
        <v>#VALUE!</v>
      </c>
      <c r="U9" t="e">
        <f>AND('Data '!H46,"AAAAAF/z/hQ=")</f>
        <v>#VALUE!</v>
      </c>
      <c r="V9" t="e">
        <f>AND('Data '!I46,"AAAAAF/z/hU=")</f>
        <v>#VALUE!</v>
      </c>
      <c r="W9">
        <f>IF('Data '!47:47,"AAAAAF/z/hY=",0)</f>
        <v>0</v>
      </c>
      <c r="X9" t="e">
        <f>AND('Data '!A47,"AAAAAF/z/hc=")</f>
        <v>#VALUE!</v>
      </c>
      <c r="Y9" t="e">
        <f>AND('Data '!B47,"AAAAAF/z/hg=")</f>
        <v>#VALUE!</v>
      </c>
      <c r="Z9" t="e">
        <f>AND('Data '!C47,"AAAAAF/z/hk=")</f>
        <v>#VALUE!</v>
      </c>
      <c r="AA9" t="e">
        <f>AND('Data '!D47,"AAAAAF/z/ho=")</f>
        <v>#VALUE!</v>
      </c>
      <c r="AB9" t="e">
        <f>AND('Data '!E47,"AAAAAF/z/hs=")</f>
        <v>#VALUE!</v>
      </c>
      <c r="AC9" t="e">
        <f>AND('Data '!F47,"AAAAAF/z/hw=")</f>
        <v>#VALUE!</v>
      </c>
      <c r="AD9" t="e">
        <f>AND('Data '!G47,"AAAAAF/z/h0=")</f>
        <v>#VALUE!</v>
      </c>
      <c r="AE9" t="e">
        <f>AND('Data '!H47,"AAAAAF/z/h4=")</f>
        <v>#VALUE!</v>
      </c>
      <c r="AF9" t="e">
        <f>AND('Data '!I47,"AAAAAF/z/h8=")</f>
        <v>#VALUE!</v>
      </c>
      <c r="AG9">
        <f>IF('Data '!48:48,"AAAAAF/z/iA=",0)</f>
        <v>0</v>
      </c>
      <c r="AH9" t="e">
        <f>AND('Data '!A48,"AAAAAF/z/iE=")</f>
        <v>#VALUE!</v>
      </c>
      <c r="AI9" t="e">
        <f>AND('Data '!B48,"AAAAAF/z/iI=")</f>
        <v>#VALUE!</v>
      </c>
      <c r="AJ9" t="e">
        <f>AND('Data '!C48,"AAAAAF/z/iM=")</f>
        <v>#VALUE!</v>
      </c>
      <c r="AK9" t="e">
        <f>AND('Data '!D48,"AAAAAF/z/iQ=")</f>
        <v>#VALUE!</v>
      </c>
      <c r="AL9" t="e">
        <f>AND('Data '!E48,"AAAAAF/z/iU=")</f>
        <v>#VALUE!</v>
      </c>
      <c r="AM9" t="e">
        <f>AND('Data '!F48,"AAAAAF/z/iY=")</f>
        <v>#VALUE!</v>
      </c>
      <c r="AN9" t="e">
        <f>AND('Data '!G48,"AAAAAF/z/ic=")</f>
        <v>#VALUE!</v>
      </c>
      <c r="AO9" t="e">
        <f>AND('Data '!H48,"AAAAAF/z/ig=")</f>
        <v>#VALUE!</v>
      </c>
      <c r="AP9" t="e">
        <f>AND('Data '!I48,"AAAAAF/z/ik=")</f>
        <v>#VALUE!</v>
      </c>
      <c r="AQ9">
        <f>IF('Data '!49:49,"AAAAAF/z/io=",0)</f>
        <v>0</v>
      </c>
      <c r="AR9" t="e">
        <f>AND('Data '!A49,"AAAAAF/z/is=")</f>
        <v>#VALUE!</v>
      </c>
      <c r="AS9" t="e">
        <f>AND('Data '!B49,"AAAAAF/z/iw=")</f>
        <v>#VALUE!</v>
      </c>
      <c r="AT9" t="e">
        <f>AND('Data '!C49,"AAAAAF/z/i0=")</f>
        <v>#VALUE!</v>
      </c>
      <c r="AU9" t="e">
        <f>AND('Data '!D49,"AAAAAF/z/i4=")</f>
        <v>#VALUE!</v>
      </c>
      <c r="AV9" t="e">
        <f>AND('Data '!E49,"AAAAAF/z/i8=")</f>
        <v>#VALUE!</v>
      </c>
      <c r="AW9" t="e">
        <f>AND('Data '!F49,"AAAAAF/z/jA=")</f>
        <v>#VALUE!</v>
      </c>
      <c r="AX9" t="e">
        <f>AND('Data '!G49,"AAAAAF/z/jE=")</f>
        <v>#VALUE!</v>
      </c>
      <c r="AY9" t="e">
        <f>AND('Data '!H49,"AAAAAF/z/jI=")</f>
        <v>#VALUE!</v>
      </c>
      <c r="AZ9" t="e">
        <f>AND('Data '!I49,"AAAAAF/z/jM=")</f>
        <v>#VALUE!</v>
      </c>
      <c r="BA9">
        <f>IF('Data '!50:50,"AAAAAF/z/jQ=",0)</f>
        <v>0</v>
      </c>
      <c r="BB9" t="e">
        <f>AND('Data '!A50,"AAAAAF/z/jU=")</f>
        <v>#VALUE!</v>
      </c>
      <c r="BC9" t="e">
        <f>AND('Data '!B50,"AAAAAF/z/jY=")</f>
        <v>#VALUE!</v>
      </c>
      <c r="BD9" t="e">
        <f>AND('Data '!C50,"AAAAAF/z/jc=")</f>
        <v>#VALUE!</v>
      </c>
      <c r="BE9" t="e">
        <f>AND('Data '!D50,"AAAAAF/z/jg=")</f>
        <v>#VALUE!</v>
      </c>
      <c r="BF9" t="e">
        <f>AND('Data '!E50,"AAAAAF/z/jk=")</f>
        <v>#VALUE!</v>
      </c>
      <c r="BG9" t="e">
        <f>AND('Data '!F50,"AAAAAF/z/jo=")</f>
        <v>#VALUE!</v>
      </c>
      <c r="BH9" t="e">
        <f>AND('Data '!G50,"AAAAAF/z/js=")</f>
        <v>#VALUE!</v>
      </c>
      <c r="BI9" t="e">
        <f>AND('Data '!H50,"AAAAAF/z/jw=")</f>
        <v>#VALUE!</v>
      </c>
      <c r="BJ9" t="e">
        <f>AND('Data '!I50,"AAAAAF/z/j0=")</f>
        <v>#VALUE!</v>
      </c>
      <c r="BK9">
        <f>IF('Data '!51:51,"AAAAAF/z/j4=",0)</f>
        <v>0</v>
      </c>
      <c r="BL9" t="e">
        <f>AND('Data '!A51,"AAAAAF/z/j8=")</f>
        <v>#VALUE!</v>
      </c>
      <c r="BM9" t="e">
        <f>AND('Data '!B51,"AAAAAF/z/kA=")</f>
        <v>#VALUE!</v>
      </c>
      <c r="BN9" t="e">
        <f>AND('Data '!C51,"AAAAAF/z/kE=")</f>
        <v>#VALUE!</v>
      </c>
      <c r="BO9" t="e">
        <f>AND('Data '!D51,"AAAAAF/z/kI=")</f>
        <v>#VALUE!</v>
      </c>
      <c r="BP9" t="e">
        <f>AND('Data '!E51,"AAAAAF/z/kM=")</f>
        <v>#VALUE!</v>
      </c>
      <c r="BQ9" t="e">
        <f>AND('Data '!F51,"AAAAAF/z/kQ=")</f>
        <v>#VALUE!</v>
      </c>
      <c r="BR9" t="e">
        <f>AND('Data '!G51,"AAAAAF/z/kU=")</f>
        <v>#VALUE!</v>
      </c>
      <c r="BS9" t="e">
        <f>AND('Data '!H51,"AAAAAF/z/kY=")</f>
        <v>#VALUE!</v>
      </c>
      <c r="BT9" t="e">
        <f>AND('Data '!I51,"AAAAAF/z/kc=")</f>
        <v>#VALUE!</v>
      </c>
      <c r="BU9">
        <f>IF('Data '!52:52,"AAAAAF/z/kg=",0)</f>
        <v>0</v>
      </c>
      <c r="BV9" t="e">
        <f>AND('Data '!A52,"AAAAAF/z/kk=")</f>
        <v>#VALUE!</v>
      </c>
      <c r="BW9" t="e">
        <f>AND('Data '!B52,"AAAAAF/z/ko=")</f>
        <v>#VALUE!</v>
      </c>
      <c r="BX9" t="e">
        <f>AND('Data '!C52,"AAAAAF/z/ks=")</f>
        <v>#VALUE!</v>
      </c>
      <c r="BY9" t="e">
        <f>AND('Data '!D52,"AAAAAF/z/kw=")</f>
        <v>#VALUE!</v>
      </c>
      <c r="BZ9" t="e">
        <f>AND('Data '!E52,"AAAAAF/z/k0=")</f>
        <v>#VALUE!</v>
      </c>
      <c r="CA9" t="e">
        <f>AND('Data '!F52,"AAAAAF/z/k4=")</f>
        <v>#VALUE!</v>
      </c>
      <c r="CB9" t="e">
        <f>AND('Data '!G52,"AAAAAF/z/k8=")</f>
        <v>#VALUE!</v>
      </c>
      <c r="CC9" t="e">
        <f>AND('Data '!H52,"AAAAAF/z/lA=")</f>
        <v>#VALUE!</v>
      </c>
      <c r="CD9" t="e">
        <f>AND('Data '!I52,"AAAAAF/z/lE=")</f>
        <v>#VALUE!</v>
      </c>
      <c r="CE9">
        <f>IF('Data '!53:53,"AAAAAF/z/lI=",0)</f>
        <v>0</v>
      </c>
      <c r="CF9" t="e">
        <f>AND('Data '!A53,"AAAAAF/z/lM=")</f>
        <v>#VALUE!</v>
      </c>
      <c r="CG9" t="e">
        <f>AND('Data '!B53,"AAAAAF/z/lQ=")</f>
        <v>#VALUE!</v>
      </c>
      <c r="CH9" t="e">
        <f>AND('Data '!C53,"AAAAAF/z/lU=")</f>
        <v>#VALUE!</v>
      </c>
      <c r="CI9" t="e">
        <f>AND('Data '!D53,"AAAAAF/z/lY=")</f>
        <v>#VALUE!</v>
      </c>
      <c r="CJ9" t="e">
        <f>AND('Data '!E53,"AAAAAF/z/lc=")</f>
        <v>#VALUE!</v>
      </c>
      <c r="CK9" t="e">
        <f>AND('Data '!F53,"AAAAAF/z/lg=")</f>
        <v>#VALUE!</v>
      </c>
      <c r="CL9" t="e">
        <f>AND('Data '!G53,"AAAAAF/z/lk=")</f>
        <v>#VALUE!</v>
      </c>
      <c r="CM9" t="e">
        <f>AND('Data '!H53,"AAAAAF/z/lo=")</f>
        <v>#VALUE!</v>
      </c>
      <c r="CN9" t="e">
        <f>AND('Data '!I53,"AAAAAF/z/ls=")</f>
        <v>#VALUE!</v>
      </c>
      <c r="CO9">
        <f>IF('Data '!54:54,"AAAAAF/z/lw=",0)</f>
        <v>0</v>
      </c>
      <c r="CP9" t="e">
        <f>AND('Data '!A54,"AAAAAF/z/l0=")</f>
        <v>#VALUE!</v>
      </c>
      <c r="CQ9" t="e">
        <f>AND('Data '!B54,"AAAAAF/z/l4=")</f>
        <v>#VALUE!</v>
      </c>
      <c r="CR9" t="e">
        <f>AND('Data '!C54,"AAAAAF/z/l8=")</f>
        <v>#VALUE!</v>
      </c>
      <c r="CS9" t="e">
        <f>AND('Data '!D54,"AAAAAF/z/mA=")</f>
        <v>#VALUE!</v>
      </c>
      <c r="CT9" t="e">
        <f>AND('Data '!E54,"AAAAAF/z/mE=")</f>
        <v>#VALUE!</v>
      </c>
      <c r="CU9" t="e">
        <f>AND('Data '!F54,"AAAAAF/z/mI=")</f>
        <v>#VALUE!</v>
      </c>
      <c r="CV9" t="e">
        <f>AND('Data '!G54,"AAAAAF/z/mM=")</f>
        <v>#VALUE!</v>
      </c>
      <c r="CW9" t="e">
        <f>AND('Data '!H54,"AAAAAF/z/mQ=")</f>
        <v>#VALUE!</v>
      </c>
      <c r="CX9" t="e">
        <f>AND('Data '!I54,"AAAAAF/z/mU=")</f>
        <v>#VALUE!</v>
      </c>
      <c r="CY9">
        <f>IF('Data '!55:55,"AAAAAF/z/mY=",0)</f>
        <v>0</v>
      </c>
      <c r="CZ9" t="e">
        <f>AND('Data '!A55,"AAAAAF/z/mc=")</f>
        <v>#VALUE!</v>
      </c>
      <c r="DA9" t="e">
        <f>AND('Data '!B55,"AAAAAF/z/mg=")</f>
        <v>#VALUE!</v>
      </c>
      <c r="DB9" t="e">
        <f>AND('Data '!C55,"AAAAAF/z/mk=")</f>
        <v>#VALUE!</v>
      </c>
      <c r="DC9" t="e">
        <f>AND('Data '!D55,"AAAAAF/z/mo=")</f>
        <v>#VALUE!</v>
      </c>
      <c r="DD9" t="e">
        <f>AND('Data '!E55,"AAAAAF/z/ms=")</f>
        <v>#VALUE!</v>
      </c>
      <c r="DE9" t="e">
        <f>AND('Data '!F55,"AAAAAF/z/mw=")</f>
        <v>#VALUE!</v>
      </c>
      <c r="DF9" t="e">
        <f>AND('Data '!G55,"AAAAAF/z/m0=")</f>
        <v>#VALUE!</v>
      </c>
      <c r="DG9" t="e">
        <f>AND('Data '!H55,"AAAAAF/z/m4=")</f>
        <v>#VALUE!</v>
      </c>
      <c r="DH9" t="e">
        <f>AND('Data '!I55,"AAAAAF/z/m8=")</f>
        <v>#VALUE!</v>
      </c>
      <c r="DI9">
        <f>IF('Data '!56:56,"AAAAAF/z/nA=",0)</f>
        <v>0</v>
      </c>
      <c r="DJ9" t="e">
        <f>AND('Data '!A56,"AAAAAF/z/nE=")</f>
        <v>#VALUE!</v>
      </c>
      <c r="DK9" t="e">
        <f>AND('Data '!B56,"AAAAAF/z/nI=")</f>
        <v>#VALUE!</v>
      </c>
      <c r="DL9" t="e">
        <f>AND('Data '!C56,"AAAAAF/z/nM=")</f>
        <v>#VALUE!</v>
      </c>
      <c r="DM9" t="e">
        <f>AND('Data '!D56,"AAAAAF/z/nQ=")</f>
        <v>#VALUE!</v>
      </c>
      <c r="DN9" t="e">
        <f>AND('Data '!E56,"AAAAAF/z/nU=")</f>
        <v>#VALUE!</v>
      </c>
      <c r="DO9" t="e">
        <f>AND('Data '!F56,"AAAAAF/z/nY=")</f>
        <v>#VALUE!</v>
      </c>
      <c r="DP9" t="e">
        <f>AND('Data '!G56,"AAAAAF/z/nc=")</f>
        <v>#VALUE!</v>
      </c>
      <c r="DQ9" t="e">
        <f>AND('Data '!H56,"AAAAAF/z/ng=")</f>
        <v>#VALUE!</v>
      </c>
      <c r="DR9" t="e">
        <f>AND('Data '!I56,"AAAAAF/z/nk=")</f>
        <v>#VALUE!</v>
      </c>
      <c r="DS9">
        <f>IF('Data '!57:57,"AAAAAF/z/no=",0)</f>
        <v>0</v>
      </c>
      <c r="DT9" t="e">
        <f>AND('Data '!A57,"AAAAAF/z/ns=")</f>
        <v>#VALUE!</v>
      </c>
      <c r="DU9" t="e">
        <f>AND('Data '!B57,"AAAAAF/z/nw=")</f>
        <v>#VALUE!</v>
      </c>
      <c r="DV9" t="e">
        <f>AND('Data '!C57,"AAAAAF/z/n0=")</f>
        <v>#VALUE!</v>
      </c>
      <c r="DW9" t="e">
        <f>AND('Data '!D57,"AAAAAF/z/n4=")</f>
        <v>#VALUE!</v>
      </c>
      <c r="DX9" t="e">
        <f>AND('Data '!E57,"AAAAAF/z/n8=")</f>
        <v>#VALUE!</v>
      </c>
      <c r="DY9" t="e">
        <f>AND('Data '!F57,"AAAAAF/z/oA=")</f>
        <v>#VALUE!</v>
      </c>
      <c r="DZ9" t="e">
        <f>AND('Data '!G57,"AAAAAF/z/oE=")</f>
        <v>#VALUE!</v>
      </c>
      <c r="EA9" t="e">
        <f>AND('Data '!H57,"AAAAAF/z/oI=")</f>
        <v>#VALUE!</v>
      </c>
      <c r="EB9" t="e">
        <f>AND('Data '!I57,"AAAAAF/z/oM=")</f>
        <v>#VALUE!</v>
      </c>
      <c r="EC9">
        <f>IF('Data '!58:58,"AAAAAF/z/oQ=",0)</f>
        <v>0</v>
      </c>
      <c r="ED9" t="e">
        <f>AND('Data '!A58,"AAAAAF/z/oU=")</f>
        <v>#VALUE!</v>
      </c>
      <c r="EE9" t="e">
        <f>AND('Data '!B58,"AAAAAF/z/oY=")</f>
        <v>#VALUE!</v>
      </c>
      <c r="EF9" t="e">
        <f>AND('Data '!C58,"AAAAAF/z/oc=")</f>
        <v>#VALUE!</v>
      </c>
      <c r="EG9" t="e">
        <f>AND('Data '!D58,"AAAAAF/z/og=")</f>
        <v>#VALUE!</v>
      </c>
      <c r="EH9" t="e">
        <f>AND('Data '!E58,"AAAAAF/z/ok=")</f>
        <v>#VALUE!</v>
      </c>
      <c r="EI9" t="e">
        <f>AND('Data '!F58,"AAAAAF/z/oo=")</f>
        <v>#VALUE!</v>
      </c>
      <c r="EJ9" t="e">
        <f>AND('Data '!G58,"AAAAAF/z/os=")</f>
        <v>#VALUE!</v>
      </c>
      <c r="EK9" t="e">
        <f>AND('Data '!H58,"AAAAAF/z/ow=")</f>
        <v>#VALUE!</v>
      </c>
      <c r="EL9" t="e">
        <f>AND('Data '!I58,"AAAAAF/z/o0=")</f>
        <v>#VALUE!</v>
      </c>
      <c r="EM9">
        <f>IF('Data '!59:59,"AAAAAF/z/o4=",0)</f>
        <v>0</v>
      </c>
      <c r="EN9" t="e">
        <f>AND('Data '!A59,"AAAAAF/z/o8=")</f>
        <v>#VALUE!</v>
      </c>
      <c r="EO9" t="e">
        <f>AND('Data '!B59,"AAAAAF/z/pA=")</f>
        <v>#VALUE!</v>
      </c>
      <c r="EP9" t="e">
        <f>AND('Data '!C59,"AAAAAF/z/pE=")</f>
        <v>#VALUE!</v>
      </c>
      <c r="EQ9" t="e">
        <f>AND('Data '!D59,"AAAAAF/z/pI=")</f>
        <v>#VALUE!</v>
      </c>
      <c r="ER9" t="e">
        <f>AND('Data '!E59,"AAAAAF/z/pM=")</f>
        <v>#VALUE!</v>
      </c>
      <c r="ES9" t="e">
        <f>AND('Data '!F59,"AAAAAF/z/pQ=")</f>
        <v>#VALUE!</v>
      </c>
      <c r="ET9" t="e">
        <f>AND('Data '!G59,"AAAAAF/z/pU=")</f>
        <v>#VALUE!</v>
      </c>
      <c r="EU9" t="e">
        <f>AND('Data '!H59,"AAAAAF/z/pY=")</f>
        <v>#VALUE!</v>
      </c>
      <c r="EV9" t="e">
        <f>AND('Data '!I59,"AAAAAF/z/pc=")</f>
        <v>#VALUE!</v>
      </c>
      <c r="EW9">
        <f>IF('Data '!60:60,"AAAAAF/z/pg=",0)</f>
        <v>0</v>
      </c>
      <c r="EX9" t="e">
        <f>AND('Data '!A60,"AAAAAF/z/pk=")</f>
        <v>#VALUE!</v>
      </c>
      <c r="EY9" t="e">
        <f>AND('Data '!B60,"AAAAAF/z/po=")</f>
        <v>#VALUE!</v>
      </c>
      <c r="EZ9" t="e">
        <f>AND('Data '!C60,"AAAAAF/z/ps=")</f>
        <v>#VALUE!</v>
      </c>
      <c r="FA9" t="e">
        <f>AND('Data '!D60,"AAAAAF/z/pw=")</f>
        <v>#VALUE!</v>
      </c>
      <c r="FB9" t="e">
        <f>AND('Data '!E60,"AAAAAF/z/p0=")</f>
        <v>#VALUE!</v>
      </c>
      <c r="FC9" t="e">
        <f>AND('Data '!F60,"AAAAAF/z/p4=")</f>
        <v>#VALUE!</v>
      </c>
      <c r="FD9" t="e">
        <f>AND('Data '!G60,"AAAAAF/z/p8=")</f>
        <v>#VALUE!</v>
      </c>
      <c r="FE9" t="e">
        <f>AND('Data '!H60,"AAAAAF/z/qA=")</f>
        <v>#VALUE!</v>
      </c>
      <c r="FF9" t="e">
        <f>AND('Data '!I60,"AAAAAF/z/qE=")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 t="str">
        <f>IF('Data '!C:C,"AAAAAF/z/qQ=",0)</f>
        <v>AAAAAF/z/qQ=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 t="str">
        <f>IF('Data '!H:H,"AAAAAF/z/qk=",0)</f>
        <v>AAAAAF/z/qk=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 t="str">
        <f>IF('Data '!M:M,"AAAAAF/z/q4=",0)</f>
        <v>AAAAAF/z/q4=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 t="str">
        <f>IF('Data '!R:R,"AAAAAF/z/rM=",0)</f>
        <v>AAAAAF/z/rM=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 t="str">
        <f>IF('Data '!W:W,"AAAAAF/z/rg=",0)</f>
        <v>AAAAAF/z/rg=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 t="str">
        <f>IF('Data '!AB:AB,"AAAAAF/z/r0=",0)</f>
        <v>AAAAAF/z/r0=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Vikram Saigal</cp:lastModifiedBy>
  <cp:lastPrinted>2010-08-09T10:53:21Z</cp:lastPrinted>
  <dcterms:created xsi:type="dcterms:W3CDTF">2001-04-16T08:47:24Z</dcterms:created>
  <dcterms:modified xsi:type="dcterms:W3CDTF">2022-03-11T11:11:03Z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