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ustomProperty3.bin" ContentType="application/vnd.openxmlformats-officedocument.spreadsheetml.customProperty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ustomProperty4.bin" ContentType="application/vnd.openxmlformats-officedocument.spreadsheetml.customProperty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drawings/drawing14.xml" ContentType="application/vnd.openxmlformats-officedocument.drawingml.chartshapes+xml"/>
  <Override PartName="/xl/charts/chart12.xml" ContentType="application/vnd.openxmlformats-officedocument.drawingml.chart+xml"/>
  <Override PartName="/xl/drawings/drawing15.xml" ContentType="application/vnd.openxmlformats-officedocument.drawingml.chartshapes+xml"/>
  <Override PartName="/xl/customProperty5.bin" ContentType="application/vnd.openxmlformats-officedocument.spreadsheetml.customProperty"/>
  <Override PartName="/xl/drawings/drawing16.xml" ContentType="application/vnd.openxmlformats-officedocument.drawing+xml"/>
  <Override PartName="/xl/charts/chart13.xml" ContentType="application/vnd.openxmlformats-officedocument.drawingml.chart+xml"/>
  <Override PartName="/xl/drawings/drawing17.xml" ContentType="application/vnd.openxmlformats-officedocument.drawingml.chartshapes+xml"/>
  <Override PartName="/xl/charts/chart14.xml" ContentType="application/vnd.openxmlformats-officedocument.drawingml.chart+xml"/>
  <Override PartName="/xl/drawings/drawing18.xml" ContentType="application/vnd.openxmlformats-officedocument.drawingml.chartshapes+xml"/>
  <Override PartName="/xl/charts/chart15.xml" ContentType="application/vnd.openxmlformats-officedocument.drawingml.chart+xml"/>
  <Override PartName="/xl/drawings/drawing19.xml" ContentType="application/vnd.openxmlformats-officedocument.drawingml.chartshapes+xml"/>
  <Override PartName="/xl/charts/chart16.xml" ContentType="application/vnd.openxmlformats-officedocument.drawingml.chart+xml"/>
  <Override PartName="/xl/drawings/drawing20.xml" ContentType="application/vnd.openxmlformats-officedocument.drawingml.chartshapes+xml"/>
  <Override PartName="/xl/charts/chart17.xml" ContentType="application/vnd.openxmlformats-officedocument.drawingml.chart+xml"/>
  <Override PartName="/xl/drawings/drawing21.xml" ContentType="application/vnd.openxmlformats-officedocument.drawingml.chartshapes+xml"/>
  <Override PartName="/xl/charts/chart18.xml" ContentType="application/vnd.openxmlformats-officedocument.drawingml.chart+xml"/>
  <Override PartName="/xl/drawings/drawing22.xml" ContentType="application/vnd.openxmlformats-officedocument.drawingml.chartshapes+xml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Shikha Tripathi\Jan '23 Files\"/>
    </mc:Choice>
  </mc:AlternateContent>
  <bookViews>
    <workbookView xWindow="0" yWindow="0" windowWidth="19200" windowHeight="7450"/>
  </bookViews>
  <sheets>
    <sheet name="Data " sheetId="15" r:id="rId1"/>
    <sheet name="Passenger Vehicle" sheetId="16" r:id="rId2"/>
    <sheet name="Commercial Vehicle" sheetId="20" r:id="rId3"/>
    <sheet name="Three Wheeler" sheetId="22" r:id="rId4"/>
    <sheet name="2 wheeler" sheetId="21" r:id="rId5"/>
    <sheet name="DV-IDENTITY-0" sheetId="23" state="veryHidden" r:id="rId6"/>
  </sheets>
  <calcPr calcId="152511"/>
</workbook>
</file>

<file path=xl/calcChain.xml><?xml version="1.0" encoding="utf-8"?>
<calcChain xmlns="http://schemas.openxmlformats.org/spreadsheetml/2006/main">
  <c r="I57" i="15" l="1"/>
  <c r="D57" i="15"/>
  <c r="AC40" i="15"/>
  <c r="S40" i="15"/>
  <c r="N40" i="15"/>
  <c r="I40" i="15"/>
  <c r="D40" i="15"/>
  <c r="AC12" i="15" l="1"/>
  <c r="X12" i="15"/>
  <c r="S12" i="15"/>
  <c r="N12" i="15"/>
  <c r="I12" i="15"/>
  <c r="D12" i="15"/>
  <c r="AC39" i="15" l="1"/>
  <c r="S39" i="15"/>
  <c r="I56" i="15"/>
  <c r="D56" i="15" l="1"/>
  <c r="N39" i="15"/>
  <c r="I39" i="15"/>
  <c r="D39" i="15"/>
  <c r="AC11" i="15"/>
  <c r="X11" i="15"/>
  <c r="S11" i="15"/>
  <c r="N11" i="15"/>
  <c r="I11" i="15"/>
  <c r="D11" i="15"/>
  <c r="I3" i="23" l="1"/>
  <c r="X40" i="15"/>
  <c r="X39" i="15"/>
  <c r="I55" i="15"/>
  <c r="D55" i="15"/>
  <c r="AC38" i="15"/>
  <c r="X38" i="15"/>
  <c r="S38" i="15"/>
  <c r="N38" i="15"/>
  <c r="I38" i="15"/>
  <c r="I8" i="23" s="1"/>
  <c r="D38" i="15"/>
  <c r="AC10" i="15"/>
  <c r="X10" i="15"/>
  <c r="S10" i="15"/>
  <c r="N10" i="15"/>
  <c r="I10" i="15"/>
  <c r="D10" i="15"/>
  <c r="I54" i="15"/>
  <c r="D54" i="15"/>
  <c r="AC37" i="15"/>
  <c r="X37" i="15"/>
  <c r="S37" i="15"/>
  <c r="N37" i="15"/>
  <c r="I37" i="15"/>
  <c r="D37" i="15"/>
  <c r="AC9" i="15"/>
  <c r="GI9" i="23" s="1"/>
  <c r="X9" i="15"/>
  <c r="GD9" i="23" s="1"/>
  <c r="S9" i="15"/>
  <c r="FY9" i="23" s="1"/>
  <c r="N9" i="15"/>
  <c r="FT9" i="23" s="1"/>
  <c r="I9" i="15"/>
  <c r="FO9" i="23" s="1"/>
  <c r="D9" i="15"/>
  <c r="FJ9" i="23" s="1"/>
  <c r="I53" i="15"/>
  <c r="D53" i="15"/>
  <c r="AC36" i="15"/>
  <c r="X36" i="15"/>
  <c r="S36" i="15"/>
  <c r="N36" i="15"/>
  <c r="I36" i="15"/>
  <c r="D36" i="15"/>
  <c r="AC8" i="15"/>
  <c r="X8" i="15"/>
  <c r="S8" i="15"/>
  <c r="N8" i="15"/>
  <c r="I8" i="15"/>
  <c r="D8" i="15"/>
  <c r="I52" i="15"/>
  <c r="D52" i="15"/>
  <c r="AC35" i="15"/>
  <c r="X35" i="15"/>
  <c r="S35" i="15"/>
  <c r="N35" i="15"/>
  <c r="I35" i="15"/>
  <c r="D35" i="15"/>
  <c r="AC7" i="15"/>
  <c r="X7" i="15"/>
  <c r="S7" i="15"/>
  <c r="N7" i="15"/>
  <c r="I7" i="15"/>
  <c r="D7" i="15"/>
  <c r="I51" i="15"/>
  <c r="D51" i="15"/>
  <c r="AC34" i="15"/>
  <c r="X34" i="15"/>
  <c r="S34" i="15"/>
  <c r="N34" i="15"/>
  <c r="I34" i="15"/>
  <c r="D34" i="15"/>
  <c r="S25" i="15"/>
  <c r="N25" i="15"/>
  <c r="I25" i="15"/>
  <c r="D25" i="15"/>
  <c r="AC6" i="15"/>
  <c r="X6" i="15"/>
  <c r="S6" i="15"/>
  <c r="N6" i="15"/>
  <c r="I6" i="15"/>
  <c r="D6" i="15"/>
  <c r="I50" i="15"/>
  <c r="D50" i="15"/>
  <c r="AC33" i="15"/>
  <c r="X33" i="15"/>
  <c r="S33" i="15"/>
  <c r="N33" i="15"/>
  <c r="I33" i="15"/>
  <c r="D33" i="15"/>
  <c r="S24" i="15"/>
  <c r="N24" i="15"/>
  <c r="I24" i="15"/>
  <c r="D24" i="15"/>
  <c r="AC5" i="15"/>
  <c r="X5" i="15"/>
  <c r="S5" i="15"/>
  <c r="N5" i="15"/>
  <c r="I5" i="15"/>
  <c r="D5" i="15"/>
  <c r="D23" i="15"/>
  <c r="A13" i="23"/>
  <c r="B13" i="23"/>
  <c r="C13" i="23"/>
  <c r="D13" i="23"/>
  <c r="E13" i="23"/>
  <c r="F13" i="23"/>
  <c r="G13" i="23"/>
  <c r="H13" i="23"/>
  <c r="I13" i="23"/>
  <c r="J13" i="23"/>
  <c r="K13" i="23"/>
  <c r="L13" i="23"/>
  <c r="M13" i="23"/>
  <c r="N13" i="23"/>
  <c r="O13" i="23"/>
  <c r="P13" i="23"/>
  <c r="Q13" i="23"/>
  <c r="R13" i="23"/>
  <c r="S13" i="23"/>
  <c r="T13" i="23"/>
  <c r="U13" i="23"/>
  <c r="V13" i="23"/>
  <c r="W13" i="23"/>
  <c r="X13" i="23"/>
  <c r="Y13" i="23"/>
  <c r="Z13" i="23"/>
  <c r="AA13" i="23"/>
  <c r="AB13" i="23"/>
  <c r="AC13" i="23"/>
  <c r="AD13" i="23"/>
  <c r="AE13" i="23"/>
  <c r="AF13" i="23"/>
  <c r="AG13" i="23"/>
  <c r="AH13" i="23"/>
  <c r="AI13" i="23"/>
  <c r="AJ13" i="23"/>
  <c r="AK13" i="23"/>
  <c r="AL13" i="23"/>
  <c r="AM13" i="23"/>
  <c r="AN13" i="23"/>
  <c r="AO13" i="23"/>
  <c r="AP13" i="23"/>
  <c r="AQ13" i="23"/>
  <c r="AR13" i="23"/>
  <c r="AS13" i="23"/>
  <c r="AT13" i="23"/>
  <c r="AU13" i="23"/>
  <c r="AV13" i="23"/>
  <c r="AW13" i="23"/>
  <c r="AX13" i="23"/>
  <c r="AY13" i="23"/>
  <c r="AZ13" i="23"/>
  <c r="BA13" i="23"/>
  <c r="BB13" i="23"/>
  <c r="BC13" i="23"/>
  <c r="BD13" i="23"/>
  <c r="BE13" i="23"/>
  <c r="BF13" i="23"/>
  <c r="BG13" i="23"/>
  <c r="BH13" i="23"/>
  <c r="BI13" i="23"/>
  <c r="BJ13" i="23"/>
  <c r="BK13" i="23"/>
  <c r="BL13" i="23"/>
  <c r="BM13" i="23"/>
  <c r="BN13" i="23"/>
  <c r="BO13" i="23"/>
  <c r="BP13" i="23"/>
  <c r="BQ13" i="23"/>
  <c r="BR13" i="23"/>
  <c r="BS13" i="23"/>
  <c r="BT13" i="23"/>
  <c r="BU13" i="23"/>
  <c r="BV13" i="23"/>
  <c r="BW13" i="23"/>
  <c r="BX13" i="23"/>
  <c r="BY13" i="23"/>
  <c r="BZ13" i="23"/>
  <c r="CA13" i="23"/>
  <c r="CB13" i="23"/>
  <c r="CC13" i="23"/>
  <c r="CD13" i="23"/>
  <c r="CE13" i="23"/>
  <c r="A12" i="23"/>
  <c r="B12" i="23"/>
  <c r="C12" i="23"/>
  <c r="D12" i="23"/>
  <c r="E12" i="23"/>
  <c r="F12" i="23"/>
  <c r="G12" i="23"/>
  <c r="H12" i="23"/>
  <c r="I12" i="23"/>
  <c r="J12" i="23"/>
  <c r="K12" i="23"/>
  <c r="L12" i="23"/>
  <c r="M12" i="23"/>
  <c r="N12" i="23"/>
  <c r="O12" i="23"/>
  <c r="P12" i="23"/>
  <c r="Q12" i="23"/>
  <c r="R12" i="23"/>
  <c r="S12" i="23"/>
  <c r="T12" i="23"/>
  <c r="U12" i="23"/>
  <c r="V12" i="23"/>
  <c r="W12" i="23"/>
  <c r="X12" i="23"/>
  <c r="Y12" i="23"/>
  <c r="Z12" i="23"/>
  <c r="AA12" i="23"/>
  <c r="AB12" i="23"/>
  <c r="AC12" i="23"/>
  <c r="AD12" i="23"/>
  <c r="AE12" i="23"/>
  <c r="AF12" i="23"/>
  <c r="AG12" i="23"/>
  <c r="AH12" i="23"/>
  <c r="AI12" i="23"/>
  <c r="AJ12" i="23"/>
  <c r="AK12" i="23"/>
  <c r="AL12" i="23"/>
  <c r="AM12" i="23"/>
  <c r="AN12" i="23"/>
  <c r="AO12" i="23"/>
  <c r="AP12" i="23"/>
  <c r="AQ12" i="23"/>
  <c r="AR12" i="23"/>
  <c r="AS12" i="23"/>
  <c r="AT12" i="23"/>
  <c r="AU12" i="23"/>
  <c r="AV12" i="23"/>
  <c r="AW12" i="23"/>
  <c r="AX12" i="23"/>
  <c r="AY12" i="23"/>
  <c r="AZ12" i="23"/>
  <c r="BA12" i="23"/>
  <c r="BB12" i="23"/>
  <c r="BC12" i="23"/>
  <c r="BD12" i="23"/>
  <c r="BE12" i="23"/>
  <c r="BF12" i="23"/>
  <c r="BG12" i="23"/>
  <c r="BH12" i="23"/>
  <c r="BI12" i="23"/>
  <c r="BJ12" i="23"/>
  <c r="BK12" i="23"/>
  <c r="BL12" i="23"/>
  <c r="BM12" i="23"/>
  <c r="BN12" i="23"/>
  <c r="BO12" i="23"/>
  <c r="BP12" i="23"/>
  <c r="BQ12" i="23"/>
  <c r="BR12" i="23"/>
  <c r="BS12" i="23"/>
  <c r="BT12" i="23"/>
  <c r="BU12" i="23"/>
  <c r="BV12" i="23"/>
  <c r="BW12" i="23"/>
  <c r="BX12" i="23"/>
  <c r="BY12" i="23"/>
  <c r="BZ12" i="23"/>
  <c r="CA12" i="23"/>
  <c r="CB12" i="23"/>
  <c r="CC12" i="23"/>
  <c r="CD12" i="23"/>
  <c r="CE12" i="23"/>
  <c r="CF12" i="23"/>
  <c r="CG12" i="23"/>
  <c r="CH12" i="23"/>
  <c r="CI12" i="23"/>
  <c r="CJ12" i="23"/>
  <c r="CK12" i="23"/>
  <c r="CL12" i="23"/>
  <c r="CM12" i="23"/>
  <c r="CN12" i="23"/>
  <c r="CO12" i="23"/>
  <c r="CP12" i="23"/>
  <c r="CQ12" i="23"/>
  <c r="CR12" i="23"/>
  <c r="CS12" i="23"/>
  <c r="CT12" i="23"/>
  <c r="CU12" i="23"/>
  <c r="CV12" i="23"/>
  <c r="CW12" i="23"/>
  <c r="CX12" i="23"/>
  <c r="CY12" i="23"/>
  <c r="CZ12" i="23"/>
  <c r="DA12" i="23"/>
  <c r="DB12" i="23"/>
  <c r="DC12" i="23"/>
  <c r="DD12" i="23"/>
  <c r="DE12" i="23"/>
  <c r="DF12" i="23"/>
  <c r="DG12" i="23"/>
  <c r="DH12" i="23"/>
  <c r="DI12" i="23"/>
  <c r="DJ12" i="23"/>
  <c r="DK12" i="23"/>
  <c r="DL12" i="23"/>
  <c r="DM12" i="23"/>
  <c r="DN12" i="23"/>
  <c r="DO12" i="23"/>
  <c r="DP12" i="23"/>
  <c r="DQ12" i="23"/>
  <c r="DR12" i="23"/>
  <c r="DS12" i="23"/>
  <c r="DT12" i="23"/>
  <c r="DU12" i="23"/>
  <c r="DV12" i="23"/>
  <c r="DW12" i="23"/>
  <c r="DX12" i="23"/>
  <c r="DY12" i="23"/>
  <c r="DZ12" i="23"/>
  <c r="EA12" i="23"/>
  <c r="EB12" i="23"/>
  <c r="EC12" i="23"/>
  <c r="ED12" i="23"/>
  <c r="EE12" i="23"/>
  <c r="EF12" i="23"/>
  <c r="EG12" i="23"/>
  <c r="EH12" i="23"/>
  <c r="EI12" i="23"/>
  <c r="EJ12" i="23"/>
  <c r="EK12" i="23"/>
  <c r="EL12" i="23"/>
  <c r="EM12" i="23"/>
  <c r="EN12" i="23"/>
  <c r="EO12" i="23"/>
  <c r="EP12" i="23"/>
  <c r="EQ12" i="23"/>
  <c r="ER12" i="23"/>
  <c r="ES12" i="23"/>
  <c r="ET12" i="23"/>
  <c r="EU12" i="23"/>
  <c r="EV12" i="23"/>
  <c r="EW12" i="23"/>
  <c r="EX12" i="23"/>
  <c r="EY12" i="23"/>
  <c r="EZ12" i="23"/>
  <c r="FA12" i="23"/>
  <c r="FB12" i="23"/>
  <c r="FC12" i="23"/>
  <c r="FD12" i="23"/>
  <c r="FE12" i="23"/>
  <c r="FF12" i="23"/>
  <c r="FG12" i="23"/>
  <c r="FH12" i="23"/>
  <c r="FI12" i="23"/>
  <c r="FJ12" i="23"/>
  <c r="FK12" i="23"/>
  <c r="FL12" i="23"/>
  <c r="FM12" i="23"/>
  <c r="FN12" i="23"/>
  <c r="FO12" i="23"/>
  <c r="FP12" i="23"/>
  <c r="FQ12" i="23"/>
  <c r="FR12" i="23"/>
  <c r="FS12" i="23"/>
  <c r="FT12" i="23"/>
  <c r="FU12" i="23"/>
  <c r="FV12" i="23"/>
  <c r="FW12" i="23"/>
  <c r="FX12" i="23"/>
  <c r="FY12" i="23"/>
  <c r="FZ12" i="23"/>
  <c r="GA12" i="23"/>
  <c r="GB12" i="23"/>
  <c r="GC12" i="23"/>
  <c r="GD12" i="23"/>
  <c r="GE12" i="23"/>
  <c r="GF12" i="23"/>
  <c r="GG12" i="23"/>
  <c r="GH12" i="23"/>
  <c r="GI12" i="23"/>
  <c r="GJ12" i="23"/>
  <c r="GK12" i="23"/>
  <c r="GL12" i="23"/>
  <c r="GM12" i="23"/>
  <c r="GN12" i="23"/>
  <c r="GO12" i="23"/>
  <c r="GP12" i="23"/>
  <c r="GQ12" i="23"/>
  <c r="GR12" i="23"/>
  <c r="GS12" i="23"/>
  <c r="GT12" i="23"/>
  <c r="GU12" i="23"/>
  <c r="GV12" i="23"/>
  <c r="GW12" i="23"/>
  <c r="GX12" i="23"/>
  <c r="GY12" i="23"/>
  <c r="GZ12" i="23"/>
  <c r="HA12" i="23"/>
  <c r="HB12" i="23"/>
  <c r="HC12" i="23"/>
  <c r="HD12" i="23"/>
  <c r="HE12" i="23"/>
  <c r="HF12" i="23"/>
  <c r="HG12" i="23"/>
  <c r="HH12" i="23"/>
  <c r="HI12" i="23"/>
  <c r="HJ12" i="23"/>
  <c r="HK12" i="23"/>
  <c r="HL12" i="23"/>
  <c r="HM12" i="23"/>
  <c r="HN12" i="23"/>
  <c r="HO12" i="23"/>
  <c r="HP12" i="23"/>
  <c r="HQ12" i="23"/>
  <c r="HR12" i="23"/>
  <c r="HS12" i="23"/>
  <c r="HT12" i="23"/>
  <c r="HU12" i="23"/>
  <c r="HV12" i="23"/>
  <c r="HW12" i="23"/>
  <c r="HX12" i="23"/>
  <c r="HY12" i="23"/>
  <c r="HZ12" i="23"/>
  <c r="IA12" i="23"/>
  <c r="IB12" i="23"/>
  <c r="IC12" i="23"/>
  <c r="ID12" i="23"/>
  <c r="IE12" i="23"/>
  <c r="IF12" i="23"/>
  <c r="IG12" i="23"/>
  <c r="IH12" i="23"/>
  <c r="II12" i="23"/>
  <c r="IJ12" i="23"/>
  <c r="IK12" i="23"/>
  <c r="IL12" i="23"/>
  <c r="IM12" i="23"/>
  <c r="IN12" i="23"/>
  <c r="IO12" i="23"/>
  <c r="IP12" i="23"/>
  <c r="IQ12" i="23"/>
  <c r="IR12" i="23"/>
  <c r="IS12" i="23"/>
  <c r="IT12" i="23"/>
  <c r="IU12" i="23"/>
  <c r="IV12" i="23"/>
  <c r="A11" i="23"/>
  <c r="B11" i="23"/>
  <c r="C11" i="23"/>
  <c r="D11" i="23"/>
  <c r="E11" i="23"/>
  <c r="F11" i="23"/>
  <c r="G11" i="23"/>
  <c r="H11" i="23"/>
  <c r="I11" i="23"/>
  <c r="J11" i="23"/>
  <c r="K11" i="23"/>
  <c r="L11" i="23"/>
  <c r="M11" i="23"/>
  <c r="N11" i="23"/>
  <c r="O11" i="23"/>
  <c r="P11" i="23"/>
  <c r="Q11" i="23"/>
  <c r="R11" i="23"/>
  <c r="S11" i="23"/>
  <c r="T11" i="23"/>
  <c r="U11" i="23"/>
  <c r="V11" i="23"/>
  <c r="W11" i="23"/>
  <c r="X11" i="23"/>
  <c r="Y11" i="23"/>
  <c r="Z11" i="23"/>
  <c r="AA11" i="23"/>
  <c r="AB11" i="23"/>
  <c r="AC11" i="23"/>
  <c r="AD11" i="23"/>
  <c r="AE11" i="23"/>
  <c r="AF11" i="23"/>
  <c r="AG11" i="23"/>
  <c r="AH11" i="23"/>
  <c r="AI11" i="23"/>
  <c r="AJ11" i="23"/>
  <c r="AK11" i="23"/>
  <c r="AL11" i="23"/>
  <c r="AM11" i="23"/>
  <c r="AN11" i="23"/>
  <c r="AO11" i="23"/>
  <c r="AP11" i="23"/>
  <c r="AQ11" i="23"/>
  <c r="AR11" i="23"/>
  <c r="AS11" i="23"/>
  <c r="AT11" i="23"/>
  <c r="AU11" i="23"/>
  <c r="AV11" i="23"/>
  <c r="AW11" i="23"/>
  <c r="AX11" i="23"/>
  <c r="AY11" i="23"/>
  <c r="AZ11" i="23"/>
  <c r="BA11" i="23"/>
  <c r="BB11" i="23"/>
  <c r="BC11" i="23"/>
  <c r="BD11" i="23"/>
  <c r="BE11" i="23"/>
  <c r="BF11" i="23"/>
  <c r="BG11" i="23"/>
  <c r="BH11" i="23"/>
  <c r="BI11" i="23"/>
  <c r="BJ11" i="23"/>
  <c r="BK11" i="23"/>
  <c r="BL11" i="23"/>
  <c r="BM11" i="23"/>
  <c r="BN11" i="23"/>
  <c r="BO11" i="23"/>
  <c r="BP11" i="23"/>
  <c r="BQ11" i="23"/>
  <c r="BR11" i="23"/>
  <c r="BS11" i="23"/>
  <c r="BT11" i="23"/>
  <c r="BU11" i="23"/>
  <c r="BV11" i="23"/>
  <c r="BW11" i="23"/>
  <c r="BX11" i="23"/>
  <c r="BY11" i="23"/>
  <c r="BZ11" i="23"/>
  <c r="CA11" i="23"/>
  <c r="CB11" i="23"/>
  <c r="CC11" i="23"/>
  <c r="CD11" i="23"/>
  <c r="CE11" i="23"/>
  <c r="CF11" i="23"/>
  <c r="CG11" i="23"/>
  <c r="CH11" i="23"/>
  <c r="CI11" i="23"/>
  <c r="CJ11" i="23"/>
  <c r="CK11" i="23"/>
  <c r="CL11" i="23"/>
  <c r="CM11" i="23"/>
  <c r="CN11" i="23"/>
  <c r="CO11" i="23"/>
  <c r="CP11" i="23"/>
  <c r="CQ11" i="23"/>
  <c r="CR11" i="23"/>
  <c r="CS11" i="23"/>
  <c r="CT11" i="23"/>
  <c r="CU11" i="23"/>
  <c r="CV11" i="23"/>
  <c r="CW11" i="23"/>
  <c r="CX11" i="23"/>
  <c r="CY11" i="23"/>
  <c r="CZ11" i="23"/>
  <c r="DA11" i="23"/>
  <c r="DB11" i="23"/>
  <c r="DC11" i="23"/>
  <c r="DD11" i="23"/>
  <c r="DE11" i="23"/>
  <c r="DF11" i="23"/>
  <c r="DG11" i="23"/>
  <c r="DH11" i="23"/>
  <c r="DI11" i="23"/>
  <c r="DJ11" i="23"/>
  <c r="DK11" i="23"/>
  <c r="DL11" i="23"/>
  <c r="DM11" i="23"/>
  <c r="DN11" i="23"/>
  <c r="DO11" i="23"/>
  <c r="DP11" i="23"/>
  <c r="DQ11" i="23"/>
  <c r="DR11" i="23"/>
  <c r="DS11" i="23"/>
  <c r="DT11" i="23"/>
  <c r="DU11" i="23"/>
  <c r="DV11" i="23"/>
  <c r="DW11" i="23"/>
  <c r="DX11" i="23"/>
  <c r="DY11" i="23"/>
  <c r="DZ11" i="23"/>
  <c r="EA11" i="23"/>
  <c r="EB11" i="23"/>
  <c r="EC11" i="23"/>
  <c r="ED11" i="23"/>
  <c r="EE11" i="23"/>
  <c r="EF11" i="23"/>
  <c r="EG11" i="23"/>
  <c r="EH11" i="23"/>
  <c r="EI11" i="23"/>
  <c r="EJ11" i="23"/>
  <c r="EK11" i="23"/>
  <c r="EL11" i="23"/>
  <c r="EM11" i="23"/>
  <c r="EN11" i="23"/>
  <c r="EO11" i="23"/>
  <c r="EP11" i="23"/>
  <c r="EQ11" i="23"/>
  <c r="ER11" i="23"/>
  <c r="ES11" i="23"/>
  <c r="ET11" i="23"/>
  <c r="EU11" i="23"/>
  <c r="EV11" i="23"/>
  <c r="EW11" i="23"/>
  <c r="EX11" i="23"/>
  <c r="EY11" i="23"/>
  <c r="EZ11" i="23"/>
  <c r="FA11" i="23"/>
  <c r="FB11" i="23"/>
  <c r="FC11" i="23"/>
  <c r="FD11" i="23"/>
  <c r="FE11" i="23"/>
  <c r="FF11" i="23"/>
  <c r="FG11" i="23"/>
  <c r="FH11" i="23"/>
  <c r="FI11" i="23"/>
  <c r="FJ11" i="23"/>
  <c r="FK11" i="23"/>
  <c r="FL11" i="23"/>
  <c r="FM11" i="23"/>
  <c r="FN11" i="23"/>
  <c r="FO11" i="23"/>
  <c r="FP11" i="23"/>
  <c r="FQ11" i="23"/>
  <c r="FR11" i="23"/>
  <c r="FS11" i="23"/>
  <c r="FT11" i="23"/>
  <c r="FU11" i="23"/>
  <c r="FV11" i="23"/>
  <c r="FW11" i="23"/>
  <c r="FX11" i="23"/>
  <c r="FY11" i="23"/>
  <c r="FZ11" i="23"/>
  <c r="GA11" i="23"/>
  <c r="GB11" i="23"/>
  <c r="GC11" i="23"/>
  <c r="GD11" i="23"/>
  <c r="GE11" i="23"/>
  <c r="GF11" i="23"/>
  <c r="GG11" i="23"/>
  <c r="GH11" i="23"/>
  <c r="GI11" i="23"/>
  <c r="GJ11" i="23"/>
  <c r="GK11" i="23"/>
  <c r="GL11" i="23"/>
  <c r="GM11" i="23"/>
  <c r="GN11" i="23"/>
  <c r="GO11" i="23"/>
  <c r="GP11" i="23"/>
  <c r="GQ11" i="23"/>
  <c r="GR11" i="23"/>
  <c r="GS11" i="23"/>
  <c r="GT11" i="23"/>
  <c r="GU11" i="23"/>
  <c r="GV11" i="23"/>
  <c r="GW11" i="23"/>
  <c r="GX11" i="23"/>
  <c r="GY11" i="23"/>
  <c r="GZ11" i="23"/>
  <c r="HA11" i="23"/>
  <c r="HB11" i="23"/>
  <c r="HC11" i="23"/>
  <c r="HD11" i="23"/>
  <c r="HE11" i="23"/>
  <c r="HF11" i="23"/>
  <c r="HG11" i="23"/>
  <c r="HH11" i="23"/>
  <c r="HI11" i="23"/>
  <c r="HJ11" i="23"/>
  <c r="HK11" i="23"/>
  <c r="HL11" i="23"/>
  <c r="HM11" i="23"/>
  <c r="HN11" i="23"/>
  <c r="HO11" i="23"/>
  <c r="HP11" i="23"/>
  <c r="HQ11" i="23"/>
  <c r="HR11" i="23"/>
  <c r="HS11" i="23"/>
  <c r="HT11" i="23"/>
  <c r="HU11" i="23"/>
  <c r="HV11" i="23"/>
  <c r="HW11" i="23"/>
  <c r="HX11" i="23"/>
  <c r="HY11" i="23"/>
  <c r="HZ11" i="23"/>
  <c r="IA11" i="23"/>
  <c r="IB11" i="23"/>
  <c r="IC11" i="23"/>
  <c r="ID11" i="23"/>
  <c r="IE11" i="23"/>
  <c r="IF11" i="23"/>
  <c r="IG11" i="23"/>
  <c r="IH11" i="23"/>
  <c r="II11" i="23"/>
  <c r="IJ11" i="23"/>
  <c r="IK11" i="23"/>
  <c r="IL11" i="23"/>
  <c r="IM11" i="23"/>
  <c r="IN11" i="23"/>
  <c r="IO11" i="23"/>
  <c r="IP11" i="23"/>
  <c r="IQ11" i="23"/>
  <c r="IR11" i="23"/>
  <c r="IS11" i="23"/>
  <c r="IT11" i="23"/>
  <c r="IU11" i="23"/>
  <c r="IV11" i="23"/>
  <c r="A10" i="23"/>
  <c r="B10" i="23"/>
  <c r="C10" i="23"/>
  <c r="D10" i="23"/>
  <c r="E10" i="23"/>
  <c r="F10" i="23"/>
  <c r="G10" i="23"/>
  <c r="H10" i="23"/>
  <c r="I10" i="23"/>
  <c r="J10" i="23"/>
  <c r="K10" i="23"/>
  <c r="L10" i="23"/>
  <c r="M10" i="23"/>
  <c r="N10" i="23"/>
  <c r="O10" i="23"/>
  <c r="P10" i="23"/>
  <c r="Q10" i="23"/>
  <c r="R10" i="23"/>
  <c r="S10" i="23"/>
  <c r="T10" i="23"/>
  <c r="U10" i="23"/>
  <c r="V10" i="23"/>
  <c r="W10" i="23"/>
  <c r="X10" i="23"/>
  <c r="Y10" i="23"/>
  <c r="Z10" i="23"/>
  <c r="AA10" i="23"/>
  <c r="AB10" i="23"/>
  <c r="AC10" i="23"/>
  <c r="AD10" i="23"/>
  <c r="AE10" i="23"/>
  <c r="AF10" i="23"/>
  <c r="AG10" i="23"/>
  <c r="AH10" i="23"/>
  <c r="AI10" i="23"/>
  <c r="AJ10" i="23"/>
  <c r="AK10" i="23"/>
  <c r="AL10" i="23"/>
  <c r="AM10" i="23"/>
  <c r="AN10" i="23"/>
  <c r="AO10" i="23"/>
  <c r="AP10" i="23"/>
  <c r="AQ10" i="23"/>
  <c r="AR10" i="23"/>
  <c r="AS10" i="23"/>
  <c r="AT10" i="23"/>
  <c r="AU10" i="23"/>
  <c r="AV10" i="23"/>
  <c r="AW10" i="23"/>
  <c r="AX10" i="23"/>
  <c r="AY10" i="23"/>
  <c r="AZ10" i="23"/>
  <c r="BA10" i="23"/>
  <c r="BB10" i="23"/>
  <c r="BC10" i="23"/>
  <c r="BD10" i="23"/>
  <c r="BE10" i="23"/>
  <c r="BF10" i="23"/>
  <c r="BG10" i="23"/>
  <c r="BH10" i="23"/>
  <c r="BI10" i="23"/>
  <c r="BJ10" i="23"/>
  <c r="BK10" i="23"/>
  <c r="BL10" i="23"/>
  <c r="BM10" i="23"/>
  <c r="BN10" i="23"/>
  <c r="BO10" i="23"/>
  <c r="BP10" i="23"/>
  <c r="BQ10" i="23"/>
  <c r="BR10" i="23"/>
  <c r="BS10" i="23"/>
  <c r="BT10" i="23"/>
  <c r="BU10" i="23"/>
  <c r="BV10" i="23"/>
  <c r="BW10" i="23"/>
  <c r="BX10" i="23"/>
  <c r="BY10" i="23"/>
  <c r="BZ10" i="23"/>
  <c r="CA10" i="23"/>
  <c r="CB10" i="23"/>
  <c r="CC10" i="23"/>
  <c r="CD10" i="23"/>
  <c r="CE10" i="23"/>
  <c r="CF10" i="23"/>
  <c r="CG10" i="23"/>
  <c r="CH10" i="23"/>
  <c r="CI10" i="23"/>
  <c r="CJ10" i="23"/>
  <c r="CK10" i="23"/>
  <c r="CL10" i="23"/>
  <c r="CM10" i="23"/>
  <c r="CN10" i="23"/>
  <c r="CO10" i="23"/>
  <c r="CP10" i="23"/>
  <c r="CQ10" i="23"/>
  <c r="CR10" i="23"/>
  <c r="CS10" i="23"/>
  <c r="CT10" i="23"/>
  <c r="CU10" i="23"/>
  <c r="CV10" i="23"/>
  <c r="CW10" i="23"/>
  <c r="CX10" i="23"/>
  <c r="CY10" i="23"/>
  <c r="CZ10" i="23"/>
  <c r="DA10" i="23"/>
  <c r="DB10" i="23"/>
  <c r="DC10" i="23"/>
  <c r="DD10" i="23"/>
  <c r="DE10" i="23"/>
  <c r="DF10" i="23"/>
  <c r="DG10" i="23"/>
  <c r="DH10" i="23"/>
  <c r="DI10" i="23"/>
  <c r="DJ10" i="23"/>
  <c r="DK10" i="23"/>
  <c r="DL10" i="23"/>
  <c r="DM10" i="23"/>
  <c r="DN10" i="23"/>
  <c r="DO10" i="23"/>
  <c r="DP10" i="23"/>
  <c r="DQ10" i="23"/>
  <c r="DR10" i="23"/>
  <c r="DS10" i="23"/>
  <c r="DT10" i="23"/>
  <c r="DU10" i="23"/>
  <c r="DV10" i="23"/>
  <c r="DW10" i="23"/>
  <c r="DX10" i="23"/>
  <c r="DY10" i="23"/>
  <c r="DZ10" i="23"/>
  <c r="EA10" i="23"/>
  <c r="EB10" i="23"/>
  <c r="EC10" i="23"/>
  <c r="ED10" i="23"/>
  <c r="EE10" i="23"/>
  <c r="EF10" i="23"/>
  <c r="EG10" i="23"/>
  <c r="EH10" i="23"/>
  <c r="EI10" i="23"/>
  <c r="EJ10" i="23"/>
  <c r="EK10" i="23"/>
  <c r="EL10" i="23"/>
  <c r="EM10" i="23"/>
  <c r="EN10" i="23"/>
  <c r="EO10" i="23"/>
  <c r="EP10" i="23"/>
  <c r="EQ10" i="23"/>
  <c r="ER10" i="23"/>
  <c r="ES10" i="23"/>
  <c r="ET10" i="23"/>
  <c r="EU10" i="23"/>
  <c r="EV10" i="23"/>
  <c r="EW10" i="23"/>
  <c r="EX10" i="23"/>
  <c r="EY10" i="23"/>
  <c r="EZ10" i="23"/>
  <c r="FA10" i="23"/>
  <c r="FB10" i="23"/>
  <c r="FC10" i="23"/>
  <c r="FD10" i="23"/>
  <c r="FE10" i="23"/>
  <c r="FF10" i="23"/>
  <c r="FG10" i="23"/>
  <c r="FH10" i="23"/>
  <c r="FI10" i="23"/>
  <c r="FJ10" i="23"/>
  <c r="FK10" i="23"/>
  <c r="FL10" i="23"/>
  <c r="FM10" i="23"/>
  <c r="FN10" i="23"/>
  <c r="FO10" i="23"/>
  <c r="FP10" i="23"/>
  <c r="FQ10" i="23"/>
  <c r="FR10" i="23"/>
  <c r="FS10" i="23"/>
  <c r="FT10" i="23"/>
  <c r="FU10" i="23"/>
  <c r="FV10" i="23"/>
  <c r="FW10" i="23"/>
  <c r="FX10" i="23"/>
  <c r="FY10" i="23"/>
  <c r="FZ10" i="23"/>
  <c r="GA10" i="23"/>
  <c r="GB10" i="23"/>
  <c r="GC10" i="23"/>
  <c r="GD10" i="23"/>
  <c r="GE10" i="23"/>
  <c r="GF10" i="23"/>
  <c r="GG10" i="23"/>
  <c r="GH10" i="23"/>
  <c r="GI10" i="23"/>
  <c r="GJ10" i="23"/>
  <c r="GK10" i="23"/>
  <c r="GL10" i="23"/>
  <c r="GM10" i="23"/>
  <c r="GN10" i="23"/>
  <c r="GO10" i="23"/>
  <c r="GP10" i="23"/>
  <c r="GQ10" i="23"/>
  <c r="GR10" i="23"/>
  <c r="GS10" i="23"/>
  <c r="GT10" i="23"/>
  <c r="GU10" i="23"/>
  <c r="GV10" i="23"/>
  <c r="GW10" i="23"/>
  <c r="GX10" i="23"/>
  <c r="GY10" i="23"/>
  <c r="GZ10" i="23"/>
  <c r="HA10" i="23"/>
  <c r="HB10" i="23"/>
  <c r="HC10" i="23"/>
  <c r="HD10" i="23"/>
  <c r="HE10" i="23"/>
  <c r="HF10" i="23"/>
  <c r="HG10" i="23"/>
  <c r="HH10" i="23"/>
  <c r="HI10" i="23"/>
  <c r="HJ10" i="23"/>
  <c r="HK10" i="23"/>
  <c r="HL10" i="23"/>
  <c r="HM10" i="23"/>
  <c r="HN10" i="23"/>
  <c r="HO10" i="23"/>
  <c r="HP10" i="23"/>
  <c r="HQ10" i="23"/>
  <c r="HR10" i="23"/>
  <c r="HS10" i="23"/>
  <c r="HT10" i="23"/>
  <c r="HU10" i="23"/>
  <c r="HV10" i="23"/>
  <c r="HW10" i="23"/>
  <c r="HX10" i="23"/>
  <c r="HY10" i="23"/>
  <c r="HZ10" i="23"/>
  <c r="IA10" i="23"/>
  <c r="IB10" i="23"/>
  <c r="IC10" i="23"/>
  <c r="ID10" i="23"/>
  <c r="IE10" i="23"/>
  <c r="IF10" i="23"/>
  <c r="IG10" i="23"/>
  <c r="IH10" i="23"/>
  <c r="II10" i="23"/>
  <c r="IJ10" i="23"/>
  <c r="IK10" i="23"/>
  <c r="IL10" i="23"/>
  <c r="IM10" i="23"/>
  <c r="IN10" i="23"/>
  <c r="IO10" i="23"/>
  <c r="IP10" i="23"/>
  <c r="IQ10" i="23"/>
  <c r="IR10" i="23"/>
  <c r="IS10" i="23"/>
  <c r="IT10" i="23"/>
  <c r="IU10" i="23"/>
  <c r="IV10" i="23"/>
  <c r="A9" i="23"/>
  <c r="B9" i="23"/>
  <c r="C9" i="23"/>
  <c r="D9" i="23"/>
  <c r="E9" i="23"/>
  <c r="F9" i="23"/>
  <c r="G9" i="23"/>
  <c r="H9" i="23"/>
  <c r="I9" i="23"/>
  <c r="J9" i="23"/>
  <c r="K9" i="23"/>
  <c r="L9" i="23"/>
  <c r="M9" i="23"/>
  <c r="N9" i="23"/>
  <c r="O9" i="23"/>
  <c r="P9" i="23"/>
  <c r="Q9" i="23"/>
  <c r="R9" i="23"/>
  <c r="S9" i="23"/>
  <c r="T9" i="23"/>
  <c r="U9" i="23"/>
  <c r="V9" i="23"/>
  <c r="W9" i="23"/>
  <c r="X9" i="23"/>
  <c r="Y9" i="23"/>
  <c r="Z9" i="23"/>
  <c r="AA9" i="23"/>
  <c r="AB9" i="23"/>
  <c r="AC9" i="23"/>
  <c r="AD9" i="23"/>
  <c r="AE9" i="23"/>
  <c r="AF9" i="23"/>
  <c r="AG9" i="23"/>
  <c r="AH9" i="23"/>
  <c r="AI9" i="23"/>
  <c r="AJ9" i="23"/>
  <c r="AK9" i="23"/>
  <c r="AL9" i="23"/>
  <c r="AM9" i="23"/>
  <c r="AN9" i="23"/>
  <c r="AO9" i="23"/>
  <c r="AP9" i="23"/>
  <c r="AQ9" i="23"/>
  <c r="AR9" i="23"/>
  <c r="AS9" i="23"/>
  <c r="AT9" i="23"/>
  <c r="AU9" i="23"/>
  <c r="AV9" i="23"/>
  <c r="AW9" i="23"/>
  <c r="AX9" i="23"/>
  <c r="AY9" i="23"/>
  <c r="AZ9" i="23"/>
  <c r="BA9" i="23"/>
  <c r="BB9" i="23"/>
  <c r="BC9" i="23"/>
  <c r="BD9" i="23"/>
  <c r="BE9" i="23"/>
  <c r="BF9" i="23"/>
  <c r="BG9" i="23"/>
  <c r="BH9" i="23"/>
  <c r="BI9" i="23"/>
  <c r="BJ9" i="23"/>
  <c r="BK9" i="23"/>
  <c r="BL9" i="23"/>
  <c r="BM9" i="23"/>
  <c r="BN9" i="23"/>
  <c r="BO9" i="23"/>
  <c r="BP9" i="23"/>
  <c r="BQ9" i="23"/>
  <c r="BR9" i="23"/>
  <c r="BS9" i="23"/>
  <c r="BT9" i="23"/>
  <c r="BU9" i="23"/>
  <c r="BV9" i="23"/>
  <c r="BW9" i="23"/>
  <c r="BX9" i="23"/>
  <c r="BY9" i="23"/>
  <c r="BZ9" i="23"/>
  <c r="CA9" i="23"/>
  <c r="CB9" i="23"/>
  <c r="CC9" i="23"/>
  <c r="CD9" i="23"/>
  <c r="CE9" i="23"/>
  <c r="CF9" i="23"/>
  <c r="CG9" i="23"/>
  <c r="CH9" i="23"/>
  <c r="CI9" i="23"/>
  <c r="CJ9" i="23"/>
  <c r="CK9" i="23"/>
  <c r="CL9" i="23"/>
  <c r="CM9" i="23"/>
  <c r="CN9" i="23"/>
  <c r="CO9" i="23"/>
  <c r="CP9" i="23"/>
  <c r="CQ9" i="23"/>
  <c r="CR9" i="23"/>
  <c r="CS9" i="23"/>
  <c r="CT9" i="23"/>
  <c r="CU9" i="23"/>
  <c r="CV9" i="23"/>
  <c r="CW9" i="23"/>
  <c r="CX9" i="23"/>
  <c r="CY9" i="23"/>
  <c r="CZ9" i="23"/>
  <c r="DA9" i="23"/>
  <c r="DB9" i="23"/>
  <c r="DC9" i="23"/>
  <c r="DD9" i="23"/>
  <c r="DE9" i="23"/>
  <c r="DF9" i="23"/>
  <c r="DG9" i="23"/>
  <c r="DH9" i="23"/>
  <c r="DI9" i="23"/>
  <c r="DJ9" i="23"/>
  <c r="DK9" i="23"/>
  <c r="DL9" i="23"/>
  <c r="DM9" i="23"/>
  <c r="DN9" i="23"/>
  <c r="DO9" i="23"/>
  <c r="DP9" i="23"/>
  <c r="DQ9" i="23"/>
  <c r="DR9" i="23"/>
  <c r="DS9" i="23"/>
  <c r="DT9" i="23"/>
  <c r="DU9" i="23"/>
  <c r="DV9" i="23"/>
  <c r="DW9" i="23"/>
  <c r="DX9" i="23"/>
  <c r="DY9" i="23"/>
  <c r="DZ9" i="23"/>
  <c r="EA9" i="23"/>
  <c r="EB9" i="23"/>
  <c r="EC9" i="23"/>
  <c r="ED9" i="23"/>
  <c r="EE9" i="23"/>
  <c r="EF9" i="23"/>
  <c r="EG9" i="23"/>
  <c r="EH9" i="23"/>
  <c r="EI9" i="23"/>
  <c r="EJ9" i="23"/>
  <c r="EK9" i="23"/>
  <c r="EL9" i="23"/>
  <c r="EM9" i="23"/>
  <c r="EN9" i="23"/>
  <c r="EO9" i="23"/>
  <c r="EP9" i="23"/>
  <c r="EQ9" i="23"/>
  <c r="ER9" i="23"/>
  <c r="ES9" i="23"/>
  <c r="ET9" i="23"/>
  <c r="EU9" i="23"/>
  <c r="EV9" i="23"/>
  <c r="EW9" i="23"/>
  <c r="EX9" i="23"/>
  <c r="EY9" i="23"/>
  <c r="EZ9" i="23"/>
  <c r="FA9" i="23"/>
  <c r="FB9" i="23"/>
  <c r="FC9" i="23"/>
  <c r="FD9" i="23"/>
  <c r="FE9" i="23"/>
  <c r="FF9" i="23"/>
  <c r="FG9" i="23"/>
  <c r="FH9" i="23"/>
  <c r="FI9" i="23"/>
  <c r="FK9" i="23"/>
  <c r="FL9" i="23"/>
  <c r="FM9" i="23"/>
  <c r="FN9" i="23"/>
  <c r="FP9" i="23"/>
  <c r="FQ9" i="23"/>
  <c r="FR9" i="23"/>
  <c r="FS9" i="23"/>
  <c r="FU9" i="23"/>
  <c r="FV9" i="23"/>
  <c r="FW9" i="23"/>
  <c r="FX9" i="23"/>
  <c r="FZ9" i="23"/>
  <c r="GA9" i="23"/>
  <c r="GB9" i="23"/>
  <c r="GC9" i="23"/>
  <c r="GE9" i="23"/>
  <c r="GF9" i="23"/>
  <c r="GG9" i="23"/>
  <c r="GH9" i="23"/>
  <c r="GJ9" i="23"/>
  <c r="GK9" i="23"/>
  <c r="GL9" i="23"/>
  <c r="GM9" i="23"/>
  <c r="GN9" i="23"/>
  <c r="GO9" i="23"/>
  <c r="GP9" i="23"/>
  <c r="GQ9" i="23"/>
  <c r="GR9" i="23"/>
  <c r="GS9" i="23"/>
  <c r="GT9" i="23"/>
  <c r="GU9" i="23"/>
  <c r="GV9" i="23"/>
  <c r="GW9" i="23"/>
  <c r="GX9" i="23"/>
  <c r="GY9" i="23"/>
  <c r="GZ9" i="23"/>
  <c r="HA9" i="23"/>
  <c r="HB9" i="23"/>
  <c r="HC9" i="23"/>
  <c r="HD9" i="23"/>
  <c r="HE9" i="23"/>
  <c r="HF9" i="23"/>
  <c r="HG9" i="23"/>
  <c r="HH9" i="23"/>
  <c r="HI9" i="23"/>
  <c r="HJ9" i="23"/>
  <c r="HK9" i="23"/>
  <c r="HL9" i="23"/>
  <c r="HM9" i="23"/>
  <c r="HN9" i="23"/>
  <c r="HO9" i="23"/>
  <c r="HP9" i="23"/>
  <c r="HQ9" i="23"/>
  <c r="HR9" i="23"/>
  <c r="HS9" i="23"/>
  <c r="HT9" i="23"/>
  <c r="HU9" i="23"/>
  <c r="HV9" i="23"/>
  <c r="HW9" i="23"/>
  <c r="HX9" i="23"/>
  <c r="HY9" i="23"/>
  <c r="HZ9" i="23"/>
  <c r="IA9" i="23"/>
  <c r="IB9" i="23"/>
  <c r="IC9" i="23"/>
  <c r="ID9" i="23"/>
  <c r="IE9" i="23"/>
  <c r="IF9" i="23"/>
  <c r="IG9" i="23"/>
  <c r="IH9" i="23"/>
  <c r="II9" i="23"/>
  <c r="IJ9" i="23"/>
  <c r="IK9" i="23"/>
  <c r="IL9" i="23"/>
  <c r="IM9" i="23"/>
  <c r="IN9" i="23"/>
  <c r="IO9" i="23"/>
  <c r="IP9" i="23"/>
  <c r="IQ9" i="23"/>
  <c r="IR9" i="23"/>
  <c r="IS9" i="23"/>
  <c r="IT9" i="23"/>
  <c r="IU9" i="23"/>
  <c r="IV9" i="23"/>
  <c r="A8" i="23"/>
  <c r="B8" i="23"/>
  <c r="C8" i="23"/>
  <c r="D8" i="23"/>
  <c r="E8" i="23"/>
  <c r="F8" i="23"/>
  <c r="G8" i="23"/>
  <c r="H8" i="23"/>
  <c r="J8" i="23"/>
  <c r="K8" i="23"/>
  <c r="L8" i="23"/>
  <c r="M8" i="23"/>
  <c r="N8" i="23"/>
  <c r="O8" i="23"/>
  <c r="P8" i="23"/>
  <c r="Q8" i="23"/>
  <c r="R8" i="23"/>
  <c r="S8" i="23"/>
  <c r="T8" i="23"/>
  <c r="U8" i="23"/>
  <c r="V8" i="23"/>
  <c r="W8" i="23"/>
  <c r="X8" i="23"/>
  <c r="Y8" i="23"/>
  <c r="Z8" i="23"/>
  <c r="AA8" i="23"/>
  <c r="AB8" i="23"/>
  <c r="AC8" i="23"/>
  <c r="AD8" i="23"/>
  <c r="AE8" i="23"/>
  <c r="AF8" i="23"/>
  <c r="AG8" i="23"/>
  <c r="AH8" i="23"/>
  <c r="AI8" i="23"/>
  <c r="AJ8" i="23"/>
  <c r="AK8" i="23"/>
  <c r="AL8" i="23"/>
  <c r="AM8" i="23"/>
  <c r="AN8" i="23"/>
  <c r="AO8" i="23"/>
  <c r="AP8" i="23"/>
  <c r="AQ8" i="23"/>
  <c r="AR8" i="23"/>
  <c r="AS8" i="23"/>
  <c r="AT8" i="23"/>
  <c r="AU8" i="23"/>
  <c r="AV8" i="23"/>
  <c r="AW8" i="23"/>
  <c r="AX8" i="23"/>
  <c r="AY8" i="23"/>
  <c r="AZ8" i="23"/>
  <c r="BA8" i="23"/>
  <c r="BB8" i="23"/>
  <c r="BC8" i="23"/>
  <c r="BD8" i="23"/>
  <c r="BE8" i="23"/>
  <c r="BF8" i="23"/>
  <c r="BG8" i="23"/>
  <c r="BH8" i="23"/>
  <c r="BI8" i="23"/>
  <c r="BJ8" i="23"/>
  <c r="BK8" i="23"/>
  <c r="BL8" i="23"/>
  <c r="BM8" i="23"/>
  <c r="BN8" i="23"/>
  <c r="BO8" i="23"/>
  <c r="BP8" i="23"/>
  <c r="BQ8" i="23"/>
  <c r="BR8" i="23"/>
  <c r="BS8" i="23"/>
  <c r="BT8" i="23"/>
  <c r="BU8" i="23"/>
  <c r="BV8" i="23"/>
  <c r="BW8" i="23"/>
  <c r="BX8" i="23"/>
  <c r="BY8" i="23"/>
  <c r="BZ8" i="23"/>
  <c r="CA8" i="23"/>
  <c r="CB8" i="23"/>
  <c r="CC8" i="23"/>
  <c r="CD8" i="23"/>
  <c r="CE8" i="23"/>
  <c r="CF8" i="23"/>
  <c r="CG8" i="23"/>
  <c r="CH8" i="23"/>
  <c r="CI8" i="23"/>
  <c r="CJ8" i="23"/>
  <c r="CK8" i="23"/>
  <c r="CL8" i="23"/>
  <c r="CM8" i="23"/>
  <c r="CN8" i="23"/>
  <c r="CO8" i="23"/>
  <c r="CP8" i="23"/>
  <c r="CQ8" i="23"/>
  <c r="CR8" i="23"/>
  <c r="CS8" i="23"/>
  <c r="CT8" i="23"/>
  <c r="CU8" i="23"/>
  <c r="CV8" i="23"/>
  <c r="CW8" i="23"/>
  <c r="CX8" i="23"/>
  <c r="CY8" i="23"/>
  <c r="CZ8" i="23"/>
  <c r="DA8" i="23"/>
  <c r="DB8" i="23"/>
  <c r="DC8" i="23"/>
  <c r="DD8" i="23"/>
  <c r="DE8" i="23"/>
  <c r="DF8" i="23"/>
  <c r="DG8" i="23"/>
  <c r="DH8" i="23"/>
  <c r="DI8" i="23"/>
  <c r="DJ8" i="23"/>
  <c r="DK8" i="23"/>
  <c r="DL8" i="23"/>
  <c r="DM8" i="23"/>
  <c r="DN8" i="23"/>
  <c r="DO8" i="23"/>
  <c r="DP8" i="23"/>
  <c r="DQ8" i="23"/>
  <c r="DR8" i="23"/>
  <c r="DS8" i="23"/>
  <c r="DT8" i="23"/>
  <c r="DU8" i="23"/>
  <c r="DV8" i="23"/>
  <c r="DW8" i="23"/>
  <c r="DX8" i="23"/>
  <c r="DY8" i="23"/>
  <c r="DZ8" i="23"/>
  <c r="EA8" i="23"/>
  <c r="EB8" i="23"/>
  <c r="EC8" i="23"/>
  <c r="ED8" i="23"/>
  <c r="EE8" i="23"/>
  <c r="EF8" i="23"/>
  <c r="EG8" i="23"/>
  <c r="EH8" i="23"/>
  <c r="EI8" i="23"/>
  <c r="EJ8" i="23"/>
  <c r="EK8" i="23"/>
  <c r="EL8" i="23"/>
  <c r="EM8" i="23"/>
  <c r="EN8" i="23"/>
  <c r="EO8" i="23"/>
  <c r="EP8" i="23"/>
  <c r="EQ8" i="23"/>
  <c r="ER8" i="23"/>
  <c r="ES8" i="23"/>
  <c r="ET8" i="23"/>
  <c r="EU8" i="23"/>
  <c r="EV8" i="23"/>
  <c r="EW8" i="23"/>
  <c r="EX8" i="23"/>
  <c r="EY8" i="23"/>
  <c r="EZ8" i="23"/>
  <c r="FA8" i="23"/>
  <c r="FB8" i="23"/>
  <c r="FC8" i="23"/>
  <c r="FD8" i="23"/>
  <c r="FE8" i="23"/>
  <c r="FF8" i="23"/>
  <c r="FG8" i="23"/>
  <c r="FH8" i="23"/>
  <c r="FI8" i="23"/>
  <c r="FJ8" i="23"/>
  <c r="FK8" i="23"/>
  <c r="FL8" i="23"/>
  <c r="FM8" i="23"/>
  <c r="FN8" i="23"/>
  <c r="FO8" i="23"/>
  <c r="FP8" i="23"/>
  <c r="FQ8" i="23"/>
  <c r="FR8" i="23"/>
  <c r="FS8" i="23"/>
  <c r="FT8" i="23"/>
  <c r="FU8" i="23"/>
  <c r="FV8" i="23"/>
  <c r="FW8" i="23"/>
  <c r="FX8" i="23"/>
  <c r="FY8" i="23"/>
  <c r="FZ8" i="23"/>
  <c r="GA8" i="23"/>
  <c r="GB8" i="23"/>
  <c r="GC8" i="23"/>
  <c r="GD8" i="23"/>
  <c r="GE8" i="23"/>
  <c r="GF8" i="23"/>
  <c r="GG8" i="23"/>
  <c r="GH8" i="23"/>
  <c r="GI8" i="23"/>
  <c r="GJ8" i="23"/>
  <c r="GK8" i="23"/>
  <c r="GL8" i="23"/>
  <c r="GM8" i="23"/>
  <c r="GN8" i="23"/>
  <c r="GO8" i="23"/>
  <c r="GP8" i="23"/>
  <c r="GQ8" i="23"/>
  <c r="GR8" i="23"/>
  <c r="GS8" i="23"/>
  <c r="GT8" i="23"/>
  <c r="GU8" i="23"/>
  <c r="GV8" i="23"/>
  <c r="GW8" i="23"/>
  <c r="GX8" i="23"/>
  <c r="GY8" i="23"/>
  <c r="GZ8" i="23"/>
  <c r="HA8" i="23"/>
  <c r="HB8" i="23"/>
  <c r="HC8" i="23"/>
  <c r="HD8" i="23"/>
  <c r="HE8" i="23"/>
  <c r="HF8" i="23"/>
  <c r="HG8" i="23"/>
  <c r="HH8" i="23"/>
  <c r="HI8" i="23"/>
  <c r="HJ8" i="23"/>
  <c r="HK8" i="23"/>
  <c r="HL8" i="23"/>
  <c r="HM8" i="23"/>
  <c r="HN8" i="23"/>
  <c r="HO8" i="23"/>
  <c r="HP8" i="23"/>
  <c r="HQ8" i="23"/>
  <c r="HR8" i="23"/>
  <c r="HS8" i="23"/>
  <c r="HT8" i="23"/>
  <c r="HU8" i="23"/>
  <c r="HV8" i="23"/>
  <c r="HW8" i="23"/>
  <c r="HX8" i="23"/>
  <c r="HY8" i="23"/>
  <c r="HZ8" i="23"/>
  <c r="IA8" i="23"/>
  <c r="IB8" i="23"/>
  <c r="IC8" i="23"/>
  <c r="ID8" i="23"/>
  <c r="IE8" i="23"/>
  <c r="IF8" i="23"/>
  <c r="IG8" i="23"/>
  <c r="IH8" i="23"/>
  <c r="II8" i="23"/>
  <c r="IJ8" i="23"/>
  <c r="IK8" i="23"/>
  <c r="IL8" i="23"/>
  <c r="IM8" i="23"/>
  <c r="IN8" i="23"/>
  <c r="IO8" i="23"/>
  <c r="IP8" i="23"/>
  <c r="IQ8" i="23"/>
  <c r="IR8" i="23"/>
  <c r="IS8" i="23"/>
  <c r="IT8" i="23"/>
  <c r="IU8" i="23"/>
  <c r="IV8" i="23"/>
  <c r="A7" i="23"/>
  <c r="B7" i="23"/>
  <c r="C7" i="23"/>
  <c r="D7" i="23"/>
  <c r="E7" i="23"/>
  <c r="F7" i="23"/>
  <c r="G7" i="23"/>
  <c r="H7" i="23"/>
  <c r="I7" i="23"/>
  <c r="J7" i="23"/>
  <c r="K7" i="23"/>
  <c r="L7" i="23"/>
  <c r="M7" i="23"/>
  <c r="N7" i="23"/>
  <c r="O7" i="23"/>
  <c r="P7" i="23"/>
  <c r="Q7" i="23"/>
  <c r="R7" i="23"/>
  <c r="S7" i="23"/>
  <c r="T7" i="23"/>
  <c r="U7" i="23"/>
  <c r="V7" i="23"/>
  <c r="W7" i="23"/>
  <c r="X7" i="23"/>
  <c r="Y7" i="23"/>
  <c r="Z7" i="23"/>
  <c r="AA7" i="23"/>
  <c r="AB7" i="23"/>
  <c r="AC7" i="23"/>
  <c r="AD7" i="23"/>
  <c r="AE7" i="23"/>
  <c r="AF7" i="23"/>
  <c r="AG7" i="23"/>
  <c r="AH7" i="23"/>
  <c r="AI7" i="23"/>
  <c r="AJ7" i="23"/>
  <c r="AK7" i="23"/>
  <c r="AL7" i="23"/>
  <c r="AM7" i="23"/>
  <c r="AN7" i="23"/>
  <c r="AO7" i="23"/>
  <c r="AP7" i="23"/>
  <c r="AQ7" i="23"/>
  <c r="AR7" i="23"/>
  <c r="AS7" i="23"/>
  <c r="AT7" i="23"/>
  <c r="AU7" i="23"/>
  <c r="AV7" i="23"/>
  <c r="AW7" i="23"/>
  <c r="AX7" i="23"/>
  <c r="AY7" i="23"/>
  <c r="AZ7" i="23"/>
  <c r="BA7" i="23"/>
  <c r="BB7" i="23"/>
  <c r="BC7" i="23"/>
  <c r="BD7" i="23"/>
  <c r="BE7" i="23"/>
  <c r="BF7" i="23"/>
  <c r="BG7" i="23"/>
  <c r="BH7" i="23"/>
  <c r="BI7" i="23"/>
  <c r="BJ7" i="23"/>
  <c r="BK7" i="23"/>
  <c r="BL7" i="23"/>
  <c r="BM7" i="23"/>
  <c r="BN7" i="23"/>
  <c r="BO7" i="23"/>
  <c r="BP7" i="23"/>
  <c r="BQ7" i="23"/>
  <c r="BR7" i="23"/>
  <c r="BS7" i="23"/>
  <c r="BT7" i="23"/>
  <c r="BU7" i="23"/>
  <c r="BV7" i="23"/>
  <c r="BW7" i="23"/>
  <c r="BX7" i="23"/>
  <c r="BY7" i="23"/>
  <c r="BZ7" i="23"/>
  <c r="CA7" i="23"/>
  <c r="CB7" i="23"/>
  <c r="CC7" i="23"/>
  <c r="CD7" i="23"/>
  <c r="CE7" i="23"/>
  <c r="CF7" i="23"/>
  <c r="CG7" i="23"/>
  <c r="CH7" i="23"/>
  <c r="CI7" i="23"/>
  <c r="CJ7" i="23"/>
  <c r="CK7" i="23"/>
  <c r="CL7" i="23"/>
  <c r="CM7" i="23"/>
  <c r="CN7" i="23"/>
  <c r="CO7" i="23"/>
  <c r="CP7" i="23"/>
  <c r="CQ7" i="23"/>
  <c r="CR7" i="23"/>
  <c r="CS7" i="23"/>
  <c r="CT7" i="23"/>
  <c r="CU7" i="23"/>
  <c r="CV7" i="23"/>
  <c r="CW7" i="23"/>
  <c r="CX7" i="23"/>
  <c r="CY7" i="23"/>
  <c r="CZ7" i="23"/>
  <c r="DA7" i="23"/>
  <c r="DB7" i="23"/>
  <c r="DC7" i="23"/>
  <c r="DD7" i="23"/>
  <c r="DE7" i="23"/>
  <c r="DF7" i="23"/>
  <c r="DG7" i="23"/>
  <c r="DH7" i="23"/>
  <c r="DI7" i="23"/>
  <c r="DJ7" i="23"/>
  <c r="DK7" i="23"/>
  <c r="DL7" i="23"/>
  <c r="DM7" i="23"/>
  <c r="DN7" i="23"/>
  <c r="DO7" i="23"/>
  <c r="DP7" i="23"/>
  <c r="DQ7" i="23"/>
  <c r="DR7" i="23"/>
  <c r="DS7" i="23"/>
  <c r="DT7" i="23"/>
  <c r="DU7" i="23"/>
  <c r="DV7" i="23"/>
  <c r="DW7" i="23"/>
  <c r="DX7" i="23"/>
  <c r="DY7" i="23"/>
  <c r="DZ7" i="23"/>
  <c r="EA7" i="23"/>
  <c r="EB7" i="23"/>
  <c r="EC7" i="23"/>
  <c r="ED7" i="23"/>
  <c r="EE7" i="23"/>
  <c r="EF7" i="23"/>
  <c r="EG7" i="23"/>
  <c r="EH7" i="23"/>
  <c r="EI7" i="23"/>
  <c r="EJ7" i="23"/>
  <c r="EK7" i="23"/>
  <c r="EL7" i="23"/>
  <c r="EM7" i="23"/>
  <c r="EN7" i="23"/>
  <c r="EO7" i="23"/>
  <c r="EP7" i="23"/>
  <c r="EQ7" i="23"/>
  <c r="ER7" i="23"/>
  <c r="ES7" i="23"/>
  <c r="ET7" i="23"/>
  <c r="EU7" i="23"/>
  <c r="EV7" i="23"/>
  <c r="EW7" i="23"/>
  <c r="EX7" i="23"/>
  <c r="EY7" i="23"/>
  <c r="EZ7" i="23"/>
  <c r="FA7" i="23"/>
  <c r="FB7" i="23"/>
  <c r="FC7" i="23"/>
  <c r="FD7" i="23"/>
  <c r="FE7" i="23"/>
  <c r="FF7" i="23"/>
  <c r="FG7" i="23"/>
  <c r="FH7" i="23"/>
  <c r="FI7" i="23"/>
  <c r="FJ7" i="23"/>
  <c r="FK7" i="23"/>
  <c r="FL7" i="23"/>
  <c r="FM7" i="23"/>
  <c r="FN7" i="23"/>
  <c r="FO7" i="23"/>
  <c r="FP7" i="23"/>
  <c r="FQ7" i="23"/>
  <c r="FR7" i="23"/>
  <c r="FS7" i="23"/>
  <c r="FT7" i="23"/>
  <c r="FU7" i="23"/>
  <c r="FV7" i="23"/>
  <c r="FW7" i="23"/>
  <c r="FX7" i="23"/>
  <c r="FY7" i="23"/>
  <c r="FZ7" i="23"/>
  <c r="GA7" i="23"/>
  <c r="GB7" i="23"/>
  <c r="GC7" i="23"/>
  <c r="GD7" i="23"/>
  <c r="GE7" i="23"/>
  <c r="GF7" i="23"/>
  <c r="GG7" i="23"/>
  <c r="GH7" i="23"/>
  <c r="GI7" i="23"/>
  <c r="GJ7" i="23"/>
  <c r="GK7" i="23"/>
  <c r="GL7" i="23"/>
  <c r="GM7" i="23"/>
  <c r="GN7" i="23"/>
  <c r="GO7" i="23"/>
  <c r="GP7" i="23"/>
  <c r="GQ7" i="23"/>
  <c r="GR7" i="23"/>
  <c r="GS7" i="23"/>
  <c r="GT7" i="23"/>
  <c r="GU7" i="23"/>
  <c r="GV7" i="23"/>
  <c r="GW7" i="23"/>
  <c r="GX7" i="23"/>
  <c r="GY7" i="23"/>
  <c r="GZ7" i="23"/>
  <c r="HA7" i="23"/>
  <c r="HB7" i="23"/>
  <c r="HC7" i="23"/>
  <c r="HD7" i="23"/>
  <c r="HE7" i="23"/>
  <c r="HF7" i="23"/>
  <c r="HG7" i="23"/>
  <c r="HH7" i="23"/>
  <c r="HI7" i="23"/>
  <c r="HJ7" i="23"/>
  <c r="HK7" i="23"/>
  <c r="HL7" i="23"/>
  <c r="HM7" i="23"/>
  <c r="HN7" i="23"/>
  <c r="HO7" i="23"/>
  <c r="HP7" i="23"/>
  <c r="HQ7" i="23"/>
  <c r="HR7" i="23"/>
  <c r="HS7" i="23"/>
  <c r="HT7" i="23"/>
  <c r="HU7" i="23"/>
  <c r="HV7" i="23"/>
  <c r="HW7" i="23"/>
  <c r="HX7" i="23"/>
  <c r="HY7" i="23"/>
  <c r="HZ7" i="23"/>
  <c r="IA7" i="23"/>
  <c r="IB7" i="23"/>
  <c r="IC7" i="23"/>
  <c r="ID7" i="23"/>
  <c r="IE7" i="23"/>
  <c r="IF7" i="23"/>
  <c r="IG7" i="23"/>
  <c r="IH7" i="23"/>
  <c r="II7" i="23"/>
  <c r="IJ7" i="23"/>
  <c r="IK7" i="23"/>
  <c r="IL7" i="23"/>
  <c r="IM7" i="23"/>
  <c r="IN7" i="23"/>
  <c r="IO7" i="23"/>
  <c r="IP7" i="23"/>
  <c r="IQ7" i="23"/>
  <c r="IR7" i="23"/>
  <c r="IS7" i="23"/>
  <c r="IT7" i="23"/>
  <c r="IU7" i="23"/>
  <c r="IV7" i="23"/>
  <c r="A6" i="23"/>
  <c r="B6" i="23"/>
  <c r="C6" i="23"/>
  <c r="D6" i="23"/>
  <c r="E6" i="23"/>
  <c r="F6" i="23"/>
  <c r="G6" i="23"/>
  <c r="H6" i="23"/>
  <c r="I6" i="23"/>
  <c r="J6" i="23"/>
  <c r="K6" i="23"/>
  <c r="L6" i="23"/>
  <c r="M6" i="23"/>
  <c r="N6" i="23"/>
  <c r="O6" i="23"/>
  <c r="P6" i="23"/>
  <c r="Q6" i="23"/>
  <c r="R6" i="23"/>
  <c r="S6" i="23"/>
  <c r="T6" i="23"/>
  <c r="U6" i="23"/>
  <c r="V6" i="23"/>
  <c r="W6" i="23"/>
  <c r="X6" i="23"/>
  <c r="Y6" i="23"/>
  <c r="Z6" i="23"/>
  <c r="AA6" i="23"/>
  <c r="AB6" i="23"/>
  <c r="AC6" i="23"/>
  <c r="AD6" i="23"/>
  <c r="AE6" i="23"/>
  <c r="AF6" i="23"/>
  <c r="AG6" i="23"/>
  <c r="AH6" i="23"/>
  <c r="AI6" i="23"/>
  <c r="AJ6" i="23"/>
  <c r="AK6" i="23"/>
  <c r="AL6" i="23"/>
  <c r="AM6" i="23"/>
  <c r="AN6" i="23"/>
  <c r="AO6" i="23"/>
  <c r="AP6" i="23"/>
  <c r="AQ6" i="23"/>
  <c r="AR6" i="23"/>
  <c r="AS6" i="23"/>
  <c r="AT6" i="23"/>
  <c r="AU6" i="23"/>
  <c r="AV6" i="23"/>
  <c r="AW6" i="23"/>
  <c r="AX6" i="23"/>
  <c r="AY6" i="23"/>
  <c r="AZ6" i="23"/>
  <c r="BA6" i="23"/>
  <c r="BB6" i="23"/>
  <c r="BC6" i="23"/>
  <c r="BD6" i="23"/>
  <c r="BE6" i="23"/>
  <c r="BF6" i="23"/>
  <c r="BG6" i="23"/>
  <c r="BH6" i="23"/>
  <c r="BI6" i="23"/>
  <c r="BJ6" i="23"/>
  <c r="BK6" i="23"/>
  <c r="BL6" i="23"/>
  <c r="BM6" i="23"/>
  <c r="BN6" i="23"/>
  <c r="BO6" i="23"/>
  <c r="BP6" i="23"/>
  <c r="BQ6" i="23"/>
  <c r="BR6" i="23"/>
  <c r="BS6" i="23"/>
  <c r="BT6" i="23"/>
  <c r="BU6" i="23"/>
  <c r="BV6" i="23"/>
  <c r="BW6" i="23"/>
  <c r="BX6" i="23"/>
  <c r="BY6" i="23"/>
  <c r="BZ6" i="23"/>
  <c r="CA6" i="23"/>
  <c r="CB6" i="23"/>
  <c r="CC6" i="23"/>
  <c r="CD6" i="23"/>
  <c r="CE6" i="23"/>
  <c r="CF6" i="23"/>
  <c r="CG6" i="23"/>
  <c r="CH6" i="23"/>
  <c r="CI6" i="23"/>
  <c r="CJ6" i="23"/>
  <c r="CK6" i="23"/>
  <c r="CL6" i="23"/>
  <c r="CM6" i="23"/>
  <c r="CN6" i="23"/>
  <c r="CO6" i="23"/>
  <c r="CP6" i="23"/>
  <c r="CQ6" i="23"/>
  <c r="CR6" i="23"/>
  <c r="CS6" i="23"/>
  <c r="CT6" i="23"/>
  <c r="CU6" i="23"/>
  <c r="CV6" i="23"/>
  <c r="CW6" i="23"/>
  <c r="CX6" i="23"/>
  <c r="CY6" i="23"/>
  <c r="CZ6" i="23"/>
  <c r="DA6" i="23"/>
  <c r="DB6" i="23"/>
  <c r="DC6" i="23"/>
  <c r="DD6" i="23"/>
  <c r="DE6" i="23"/>
  <c r="DF6" i="23"/>
  <c r="DG6" i="23"/>
  <c r="DH6" i="23"/>
  <c r="DI6" i="23"/>
  <c r="DJ6" i="23"/>
  <c r="DK6" i="23"/>
  <c r="DL6" i="23"/>
  <c r="DM6" i="23"/>
  <c r="DN6" i="23"/>
  <c r="DO6" i="23"/>
  <c r="DP6" i="23"/>
  <c r="DQ6" i="23"/>
  <c r="DR6" i="23"/>
  <c r="DS6" i="23"/>
  <c r="DT6" i="23"/>
  <c r="DU6" i="23"/>
  <c r="DV6" i="23"/>
  <c r="DW6" i="23"/>
  <c r="DX6" i="23"/>
  <c r="DY6" i="23"/>
  <c r="DZ6" i="23"/>
  <c r="EA6" i="23"/>
  <c r="EB6" i="23"/>
  <c r="EC6" i="23"/>
  <c r="ED6" i="23"/>
  <c r="EE6" i="23"/>
  <c r="EF6" i="23"/>
  <c r="EG6" i="23"/>
  <c r="EH6" i="23"/>
  <c r="EI6" i="23"/>
  <c r="EJ6" i="23"/>
  <c r="EK6" i="23"/>
  <c r="EL6" i="23"/>
  <c r="EM6" i="23"/>
  <c r="EN6" i="23"/>
  <c r="EO6" i="23"/>
  <c r="EP6" i="23"/>
  <c r="EQ6" i="23"/>
  <c r="ER6" i="23"/>
  <c r="ES6" i="23"/>
  <c r="ET6" i="23"/>
  <c r="EU6" i="23"/>
  <c r="EV6" i="23"/>
  <c r="EW6" i="23"/>
  <c r="EX6" i="23"/>
  <c r="EY6" i="23"/>
  <c r="EZ6" i="23"/>
  <c r="FA6" i="23"/>
  <c r="FB6" i="23"/>
  <c r="FC6" i="23"/>
  <c r="FD6" i="23"/>
  <c r="FE6" i="23"/>
  <c r="FF6" i="23"/>
  <c r="FG6" i="23"/>
  <c r="FH6" i="23"/>
  <c r="FI6" i="23"/>
  <c r="FJ6" i="23"/>
  <c r="FK6" i="23"/>
  <c r="FL6" i="23"/>
  <c r="FM6" i="23"/>
  <c r="FN6" i="23"/>
  <c r="FO6" i="23"/>
  <c r="FP6" i="23"/>
  <c r="FQ6" i="23"/>
  <c r="FR6" i="23"/>
  <c r="FS6" i="23"/>
  <c r="FT6" i="23"/>
  <c r="FU6" i="23"/>
  <c r="FV6" i="23"/>
  <c r="FW6" i="23"/>
  <c r="FX6" i="23"/>
  <c r="FY6" i="23"/>
  <c r="FZ6" i="23"/>
  <c r="GA6" i="23"/>
  <c r="GB6" i="23"/>
  <c r="GC6" i="23"/>
  <c r="GD6" i="23"/>
  <c r="GE6" i="23"/>
  <c r="GF6" i="23"/>
  <c r="GG6" i="23"/>
  <c r="GH6" i="23"/>
  <c r="GI6" i="23"/>
  <c r="GJ6" i="23"/>
  <c r="GK6" i="23"/>
  <c r="GL6" i="23"/>
  <c r="GM6" i="23"/>
  <c r="GN6" i="23"/>
  <c r="GO6" i="23"/>
  <c r="GP6" i="23"/>
  <c r="GQ6" i="23"/>
  <c r="GR6" i="23"/>
  <c r="GS6" i="23"/>
  <c r="GT6" i="23"/>
  <c r="GU6" i="23"/>
  <c r="GV6" i="23"/>
  <c r="GW6" i="23"/>
  <c r="GX6" i="23"/>
  <c r="GY6" i="23"/>
  <c r="GZ6" i="23"/>
  <c r="HA6" i="23"/>
  <c r="HB6" i="23"/>
  <c r="HC6" i="23"/>
  <c r="HD6" i="23"/>
  <c r="HE6" i="23"/>
  <c r="HF6" i="23"/>
  <c r="HG6" i="23"/>
  <c r="HH6" i="23"/>
  <c r="HI6" i="23"/>
  <c r="HJ6" i="23"/>
  <c r="HK6" i="23"/>
  <c r="HL6" i="23"/>
  <c r="HM6" i="23"/>
  <c r="HN6" i="23"/>
  <c r="HO6" i="23"/>
  <c r="HP6" i="23"/>
  <c r="HQ6" i="23"/>
  <c r="HR6" i="23"/>
  <c r="HS6" i="23"/>
  <c r="HT6" i="23"/>
  <c r="HU6" i="23"/>
  <c r="HV6" i="23"/>
  <c r="HW6" i="23"/>
  <c r="HX6" i="23"/>
  <c r="HY6" i="23"/>
  <c r="HZ6" i="23"/>
  <c r="IA6" i="23"/>
  <c r="IB6" i="23"/>
  <c r="IC6" i="23"/>
  <c r="ID6" i="23"/>
  <c r="IE6" i="23"/>
  <c r="IF6" i="23"/>
  <c r="IG6" i="23"/>
  <c r="IH6" i="23"/>
  <c r="II6" i="23"/>
  <c r="IJ6" i="23"/>
  <c r="IK6" i="23"/>
  <c r="IL6" i="23"/>
  <c r="IM6" i="23"/>
  <c r="IN6" i="23"/>
  <c r="IO6" i="23"/>
  <c r="IP6" i="23"/>
  <c r="IQ6" i="23"/>
  <c r="IR6" i="23"/>
  <c r="IS6" i="23"/>
  <c r="IT6" i="23"/>
  <c r="IU6" i="23"/>
  <c r="IV6" i="23"/>
  <c r="A5" i="23"/>
  <c r="B5" i="23"/>
  <c r="C5" i="23"/>
  <c r="D5" i="23"/>
  <c r="E5" i="23"/>
  <c r="F5" i="23"/>
  <c r="G5" i="23"/>
  <c r="H5" i="23"/>
  <c r="I5" i="23"/>
  <c r="J5" i="23"/>
  <c r="K5" i="23"/>
  <c r="L5" i="23"/>
  <c r="M5" i="23"/>
  <c r="N5" i="23"/>
  <c r="O5" i="23"/>
  <c r="P5" i="23"/>
  <c r="Q5" i="23"/>
  <c r="R5" i="23"/>
  <c r="S5" i="23"/>
  <c r="T5" i="23"/>
  <c r="U5" i="23"/>
  <c r="V5" i="23"/>
  <c r="W5" i="23"/>
  <c r="X5" i="23"/>
  <c r="Y5" i="23"/>
  <c r="Z5" i="23"/>
  <c r="AA5" i="23"/>
  <c r="AB5" i="23"/>
  <c r="AC5" i="23"/>
  <c r="AD5" i="23"/>
  <c r="AE5" i="23"/>
  <c r="AF5" i="23"/>
  <c r="AG5" i="23"/>
  <c r="AH5" i="23"/>
  <c r="AI5" i="23"/>
  <c r="AJ5" i="23"/>
  <c r="AK5" i="23"/>
  <c r="AL5" i="23"/>
  <c r="AM5" i="23"/>
  <c r="AN5" i="23"/>
  <c r="AO5" i="23"/>
  <c r="AP5" i="23"/>
  <c r="AQ5" i="23"/>
  <c r="AR5" i="23"/>
  <c r="AS5" i="23"/>
  <c r="AT5" i="23"/>
  <c r="AU5" i="23"/>
  <c r="AV5" i="23"/>
  <c r="AW5" i="23"/>
  <c r="AX5" i="23"/>
  <c r="AY5" i="23"/>
  <c r="AZ5" i="23"/>
  <c r="BA5" i="23"/>
  <c r="BB5" i="23"/>
  <c r="BC5" i="23"/>
  <c r="BD5" i="23"/>
  <c r="BE5" i="23"/>
  <c r="BF5" i="23"/>
  <c r="BG5" i="23"/>
  <c r="BH5" i="23"/>
  <c r="BI5" i="23"/>
  <c r="BJ5" i="23"/>
  <c r="BK5" i="23"/>
  <c r="BL5" i="23"/>
  <c r="BM5" i="23"/>
  <c r="BN5" i="23"/>
  <c r="BO5" i="23"/>
  <c r="BP5" i="23"/>
  <c r="BQ5" i="23"/>
  <c r="BR5" i="23"/>
  <c r="BS5" i="23"/>
  <c r="BT5" i="23"/>
  <c r="BU5" i="23"/>
  <c r="BV5" i="23"/>
  <c r="BW5" i="23"/>
  <c r="BX5" i="23"/>
  <c r="BY5" i="23"/>
  <c r="BZ5" i="23"/>
  <c r="CA5" i="23"/>
  <c r="CB5" i="23"/>
  <c r="CC5" i="23"/>
  <c r="CD5" i="23"/>
  <c r="CE5" i="23"/>
  <c r="CF5" i="23"/>
  <c r="CG5" i="23"/>
  <c r="CH5" i="23"/>
  <c r="CI5" i="23"/>
  <c r="CJ5" i="23"/>
  <c r="CK5" i="23"/>
  <c r="CL5" i="23"/>
  <c r="CM5" i="23"/>
  <c r="CN5" i="23"/>
  <c r="CO5" i="23"/>
  <c r="CP5" i="23"/>
  <c r="CQ5" i="23"/>
  <c r="CR5" i="23"/>
  <c r="CS5" i="23"/>
  <c r="CT5" i="23"/>
  <c r="CU5" i="23"/>
  <c r="CV5" i="23"/>
  <c r="CW5" i="23"/>
  <c r="CX5" i="23"/>
  <c r="CY5" i="23"/>
  <c r="CZ5" i="23"/>
  <c r="DA5" i="23"/>
  <c r="DB5" i="23"/>
  <c r="DC5" i="23"/>
  <c r="DD5" i="23"/>
  <c r="DE5" i="23"/>
  <c r="DF5" i="23"/>
  <c r="DG5" i="23"/>
  <c r="DH5" i="23"/>
  <c r="DI5" i="23"/>
  <c r="DJ5" i="23"/>
  <c r="DK5" i="23"/>
  <c r="DL5" i="23"/>
  <c r="DM5" i="23"/>
  <c r="DN5" i="23"/>
  <c r="DO5" i="23"/>
  <c r="DP5" i="23"/>
  <c r="DQ5" i="23"/>
  <c r="DR5" i="23"/>
  <c r="DS5" i="23"/>
  <c r="DT5" i="23"/>
  <c r="DU5" i="23"/>
  <c r="DV5" i="23"/>
  <c r="DW5" i="23"/>
  <c r="DX5" i="23"/>
  <c r="DY5" i="23"/>
  <c r="DZ5" i="23"/>
  <c r="EA5" i="23"/>
  <c r="EB5" i="23"/>
  <c r="EC5" i="23"/>
  <c r="ED5" i="23"/>
  <c r="EE5" i="23"/>
  <c r="EF5" i="23"/>
  <c r="EG5" i="23"/>
  <c r="EH5" i="23"/>
  <c r="EI5" i="23"/>
  <c r="EJ5" i="23"/>
  <c r="EK5" i="23"/>
  <c r="EL5" i="23"/>
  <c r="EM5" i="23"/>
  <c r="EN5" i="23"/>
  <c r="EO5" i="23"/>
  <c r="EP5" i="23"/>
  <c r="EQ5" i="23"/>
  <c r="ER5" i="23"/>
  <c r="ES5" i="23"/>
  <c r="ET5" i="23"/>
  <c r="EU5" i="23"/>
  <c r="EV5" i="23"/>
  <c r="EW5" i="23"/>
  <c r="EX5" i="23"/>
  <c r="EY5" i="23"/>
  <c r="EZ5" i="23"/>
  <c r="FA5" i="23"/>
  <c r="FB5" i="23"/>
  <c r="FC5" i="23"/>
  <c r="FD5" i="23"/>
  <c r="FE5" i="23"/>
  <c r="FF5" i="23"/>
  <c r="FG5" i="23"/>
  <c r="FH5" i="23"/>
  <c r="FI5" i="23"/>
  <c r="FJ5" i="23"/>
  <c r="FK5" i="23"/>
  <c r="FL5" i="23"/>
  <c r="FM5" i="23"/>
  <c r="FN5" i="23"/>
  <c r="FO5" i="23"/>
  <c r="FP5" i="23"/>
  <c r="FQ5" i="23"/>
  <c r="FR5" i="23"/>
  <c r="FS5" i="23"/>
  <c r="FT5" i="23"/>
  <c r="FU5" i="23"/>
  <c r="FV5" i="23"/>
  <c r="FW5" i="23"/>
  <c r="FX5" i="23"/>
  <c r="FY5" i="23"/>
  <c r="FZ5" i="23"/>
  <c r="GA5" i="23"/>
  <c r="GB5" i="23"/>
  <c r="GC5" i="23"/>
  <c r="GD5" i="23"/>
  <c r="GE5" i="23"/>
  <c r="GF5" i="23"/>
  <c r="GG5" i="23"/>
  <c r="GH5" i="23"/>
  <c r="GI5" i="23"/>
  <c r="GJ5" i="23"/>
  <c r="GK5" i="23"/>
  <c r="GL5" i="23"/>
  <c r="GM5" i="23"/>
  <c r="GN5" i="23"/>
  <c r="GO5" i="23"/>
  <c r="GP5" i="23"/>
  <c r="GQ5" i="23"/>
  <c r="GR5" i="23"/>
  <c r="GS5" i="23"/>
  <c r="GT5" i="23"/>
  <c r="GU5" i="23"/>
  <c r="GV5" i="23"/>
  <c r="GW5" i="23"/>
  <c r="GX5" i="23"/>
  <c r="GY5" i="23"/>
  <c r="GZ5" i="23"/>
  <c r="HA5" i="23"/>
  <c r="HB5" i="23"/>
  <c r="HC5" i="23"/>
  <c r="HD5" i="23"/>
  <c r="HE5" i="23"/>
  <c r="HF5" i="23"/>
  <c r="HG5" i="23"/>
  <c r="HH5" i="23"/>
  <c r="HI5" i="23"/>
  <c r="HJ5" i="23"/>
  <c r="HK5" i="23"/>
  <c r="HL5" i="23"/>
  <c r="HM5" i="23"/>
  <c r="HN5" i="23"/>
  <c r="HO5" i="23"/>
  <c r="HP5" i="23"/>
  <c r="HQ5" i="23"/>
  <c r="HR5" i="23"/>
  <c r="HS5" i="23"/>
  <c r="HT5" i="23"/>
  <c r="HU5" i="23"/>
  <c r="HV5" i="23"/>
  <c r="HW5" i="23"/>
  <c r="HX5" i="23"/>
  <c r="HY5" i="23"/>
  <c r="HZ5" i="23"/>
  <c r="IA5" i="23"/>
  <c r="IB5" i="23"/>
  <c r="IC5" i="23"/>
  <c r="ID5" i="23"/>
  <c r="IE5" i="23"/>
  <c r="IF5" i="23"/>
  <c r="IG5" i="23"/>
  <c r="IH5" i="23"/>
  <c r="II5" i="23"/>
  <c r="IJ5" i="23"/>
  <c r="IK5" i="23"/>
  <c r="IL5" i="23"/>
  <c r="IM5" i="23"/>
  <c r="IN5" i="23"/>
  <c r="IO5" i="23"/>
  <c r="IP5" i="23"/>
  <c r="IQ5" i="23"/>
  <c r="IR5" i="23"/>
  <c r="IS5" i="23"/>
  <c r="IT5" i="23"/>
  <c r="IU5" i="23"/>
  <c r="IV5" i="23"/>
  <c r="A4" i="23"/>
  <c r="B4" i="23"/>
  <c r="C4" i="23"/>
  <c r="D4" i="23"/>
  <c r="E4" i="23"/>
  <c r="F4" i="23"/>
  <c r="G4" i="23"/>
  <c r="H4" i="23"/>
  <c r="I4" i="23"/>
  <c r="J4" i="23"/>
  <c r="K4" i="23"/>
  <c r="L4" i="23"/>
  <c r="M4" i="23"/>
  <c r="N4" i="23"/>
  <c r="O4" i="23"/>
  <c r="P4" i="23"/>
  <c r="Q4" i="23"/>
  <c r="R4" i="23"/>
  <c r="S4" i="23"/>
  <c r="T4" i="23"/>
  <c r="U4" i="23"/>
  <c r="V4" i="23"/>
  <c r="W4" i="23"/>
  <c r="X4" i="23"/>
  <c r="Y4" i="23"/>
  <c r="Z4" i="23"/>
  <c r="AA4" i="23"/>
  <c r="AB4" i="23"/>
  <c r="AC4" i="23"/>
  <c r="AD4" i="23"/>
  <c r="AE4" i="23"/>
  <c r="AF4" i="23"/>
  <c r="AG4" i="23"/>
  <c r="AH4" i="23"/>
  <c r="AI4" i="23"/>
  <c r="AJ4" i="23"/>
  <c r="AK4" i="23"/>
  <c r="AL4" i="23"/>
  <c r="AM4" i="23"/>
  <c r="AN4" i="23"/>
  <c r="AO4" i="23"/>
  <c r="AP4" i="23"/>
  <c r="AQ4" i="23"/>
  <c r="AR4" i="23"/>
  <c r="AS4" i="23"/>
  <c r="AT4" i="23"/>
  <c r="AU4" i="23"/>
  <c r="AV4" i="23"/>
  <c r="AW4" i="23"/>
  <c r="AX4" i="23"/>
  <c r="AY4" i="23"/>
  <c r="AZ4" i="23"/>
  <c r="BA4" i="23"/>
  <c r="BB4" i="23"/>
  <c r="BC4" i="23"/>
  <c r="BD4" i="23"/>
  <c r="BE4" i="23"/>
  <c r="BF4" i="23"/>
  <c r="BG4" i="23"/>
  <c r="BH4" i="23"/>
  <c r="BI4" i="23"/>
  <c r="BJ4" i="23"/>
  <c r="BK4" i="23"/>
  <c r="BL4" i="23"/>
  <c r="BM4" i="23"/>
  <c r="BN4" i="23"/>
  <c r="BO4" i="23"/>
  <c r="BP4" i="23"/>
  <c r="BQ4" i="23"/>
  <c r="BR4" i="23"/>
  <c r="BS4" i="23"/>
  <c r="BT4" i="23"/>
  <c r="BU4" i="23"/>
  <c r="BV4" i="23"/>
  <c r="BW4" i="23"/>
  <c r="BX4" i="23"/>
  <c r="BY4" i="23"/>
  <c r="BZ4" i="23"/>
  <c r="CA4" i="23"/>
  <c r="CB4" i="23"/>
  <c r="CC4" i="23"/>
  <c r="CD4" i="23"/>
  <c r="CE4" i="23"/>
  <c r="CF4" i="23"/>
  <c r="CG4" i="23"/>
  <c r="CH4" i="23"/>
  <c r="CI4" i="23"/>
  <c r="CJ4" i="23"/>
  <c r="CK4" i="23"/>
  <c r="CL4" i="23"/>
  <c r="CM4" i="23"/>
  <c r="CN4" i="23"/>
  <c r="CO4" i="23"/>
  <c r="CP4" i="23"/>
  <c r="CQ4" i="23"/>
  <c r="CR4" i="23"/>
  <c r="CS4" i="23"/>
  <c r="CT4" i="23"/>
  <c r="CU4" i="23"/>
  <c r="CV4" i="23"/>
  <c r="CW4" i="23"/>
  <c r="CX4" i="23"/>
  <c r="CY4" i="23"/>
  <c r="CZ4" i="23"/>
  <c r="DA4" i="23"/>
  <c r="DB4" i="23"/>
  <c r="DC4" i="23"/>
  <c r="DD4" i="23"/>
  <c r="DE4" i="23"/>
  <c r="DF4" i="23"/>
  <c r="DG4" i="23"/>
  <c r="DH4" i="23"/>
  <c r="DI4" i="23"/>
  <c r="DJ4" i="23"/>
  <c r="DK4" i="23"/>
  <c r="DL4" i="23"/>
  <c r="DM4" i="23"/>
  <c r="DN4" i="23"/>
  <c r="DO4" i="23"/>
  <c r="DP4" i="23"/>
  <c r="DQ4" i="23"/>
  <c r="DR4" i="23"/>
  <c r="DS4" i="23"/>
  <c r="DT4" i="23"/>
  <c r="DU4" i="23"/>
  <c r="DV4" i="23"/>
  <c r="DW4" i="23"/>
  <c r="DX4" i="23"/>
  <c r="DY4" i="23"/>
  <c r="DZ4" i="23"/>
  <c r="EA4" i="23"/>
  <c r="EB4" i="23"/>
  <c r="EC4" i="23"/>
  <c r="ED4" i="23"/>
  <c r="EE4" i="23"/>
  <c r="EF4" i="23"/>
  <c r="EG4" i="23"/>
  <c r="EH4" i="23"/>
  <c r="EI4" i="23"/>
  <c r="EJ4" i="23"/>
  <c r="EK4" i="23"/>
  <c r="EL4" i="23"/>
  <c r="EM4" i="23"/>
  <c r="EN4" i="23"/>
  <c r="EO4" i="23"/>
  <c r="EP4" i="23"/>
  <c r="EQ4" i="23"/>
  <c r="ER4" i="23"/>
  <c r="ES4" i="23"/>
  <c r="ET4" i="23"/>
  <c r="EU4" i="23"/>
  <c r="EV4" i="23"/>
  <c r="EW4" i="23"/>
  <c r="EX4" i="23"/>
  <c r="EY4" i="23"/>
  <c r="EZ4" i="23"/>
  <c r="FA4" i="23"/>
  <c r="FB4" i="23"/>
  <c r="FC4" i="23"/>
  <c r="FD4" i="23"/>
  <c r="FE4" i="23"/>
  <c r="FF4" i="23"/>
  <c r="FG4" i="23"/>
  <c r="FH4" i="23"/>
  <c r="FI4" i="23"/>
  <c r="FJ4" i="23"/>
  <c r="FK4" i="23"/>
  <c r="FL4" i="23"/>
  <c r="FM4" i="23"/>
  <c r="FN4" i="23"/>
  <c r="FO4" i="23"/>
  <c r="FP4" i="23"/>
  <c r="FQ4" i="23"/>
  <c r="FR4" i="23"/>
  <c r="FS4" i="23"/>
  <c r="FT4" i="23"/>
  <c r="FU4" i="23"/>
  <c r="FV4" i="23"/>
  <c r="FW4" i="23"/>
  <c r="FX4" i="23"/>
  <c r="FY4" i="23"/>
  <c r="FZ4" i="23"/>
  <c r="GA4" i="23"/>
  <c r="GB4" i="23"/>
  <c r="GC4" i="23"/>
  <c r="GD4" i="23"/>
  <c r="GE4" i="23"/>
  <c r="GF4" i="23"/>
  <c r="GG4" i="23"/>
  <c r="GH4" i="23"/>
  <c r="GI4" i="23"/>
  <c r="GJ4" i="23"/>
  <c r="GK4" i="23"/>
  <c r="GL4" i="23"/>
  <c r="GM4" i="23"/>
  <c r="GN4" i="23"/>
  <c r="GO4" i="23"/>
  <c r="GP4" i="23"/>
  <c r="GQ4" i="23"/>
  <c r="GR4" i="23"/>
  <c r="GS4" i="23"/>
  <c r="GT4" i="23"/>
  <c r="GU4" i="23"/>
  <c r="GV4" i="23"/>
  <c r="GW4" i="23"/>
  <c r="GX4" i="23"/>
  <c r="GY4" i="23"/>
  <c r="GZ4" i="23"/>
  <c r="HA4" i="23"/>
  <c r="HB4" i="23"/>
  <c r="HC4" i="23"/>
  <c r="HD4" i="23"/>
  <c r="HE4" i="23"/>
  <c r="HF4" i="23"/>
  <c r="HG4" i="23"/>
  <c r="HH4" i="23"/>
  <c r="HI4" i="23"/>
  <c r="HJ4" i="23"/>
  <c r="HK4" i="23"/>
  <c r="HL4" i="23"/>
  <c r="HM4" i="23"/>
  <c r="HN4" i="23"/>
  <c r="HO4" i="23"/>
  <c r="HP4" i="23"/>
  <c r="HQ4" i="23"/>
  <c r="HR4" i="23"/>
  <c r="HS4" i="23"/>
  <c r="HT4" i="23"/>
  <c r="HU4" i="23"/>
  <c r="HV4" i="23"/>
  <c r="HW4" i="23"/>
  <c r="HX4" i="23"/>
  <c r="HY4" i="23"/>
  <c r="HZ4" i="23"/>
  <c r="IA4" i="23"/>
  <c r="IB4" i="23"/>
  <c r="IC4" i="23"/>
  <c r="ID4" i="23"/>
  <c r="IE4" i="23"/>
  <c r="IF4" i="23"/>
  <c r="IG4" i="23"/>
  <c r="IH4" i="23"/>
  <c r="II4" i="23"/>
  <c r="IJ4" i="23"/>
  <c r="IK4" i="23"/>
  <c r="IL4" i="23"/>
  <c r="IM4" i="23"/>
  <c r="IN4" i="23"/>
  <c r="IO4" i="23"/>
  <c r="IP4" i="23"/>
  <c r="IQ4" i="23"/>
  <c r="IR4" i="23"/>
  <c r="IS4" i="23"/>
  <c r="IT4" i="23"/>
  <c r="IU4" i="23"/>
  <c r="IV4" i="23"/>
  <c r="A3" i="23"/>
  <c r="B3" i="23"/>
  <c r="C3" i="23"/>
  <c r="D3" i="23"/>
  <c r="E3" i="23"/>
  <c r="F3" i="23"/>
  <c r="G3" i="23"/>
  <c r="H3" i="23"/>
  <c r="J3" i="23"/>
  <c r="K3" i="23"/>
  <c r="L3" i="23"/>
  <c r="M3" i="23"/>
  <c r="N3" i="23"/>
  <c r="O3" i="23"/>
  <c r="P3" i="23"/>
  <c r="Q3" i="23"/>
  <c r="R3" i="23"/>
  <c r="S3" i="23"/>
  <c r="T3" i="23"/>
  <c r="U3" i="23"/>
  <c r="V3" i="23"/>
  <c r="W3" i="23"/>
  <c r="X3" i="23"/>
  <c r="Y3" i="23"/>
  <c r="Z3" i="23"/>
  <c r="AA3" i="23"/>
  <c r="AB3" i="23"/>
  <c r="AC3" i="23"/>
  <c r="AD3" i="23"/>
  <c r="AE3" i="23"/>
  <c r="AF3" i="23"/>
  <c r="AG3" i="23"/>
  <c r="AH3" i="23"/>
  <c r="AI3" i="23"/>
  <c r="AJ3" i="23"/>
  <c r="AK3" i="23"/>
  <c r="AL3" i="23"/>
  <c r="AM3" i="23"/>
  <c r="AN3" i="23"/>
  <c r="AO3" i="23"/>
  <c r="AP3" i="23"/>
  <c r="AQ3" i="23"/>
  <c r="AR3" i="23"/>
  <c r="AS3" i="23"/>
  <c r="AT3" i="23"/>
  <c r="AU3" i="23"/>
  <c r="AV3" i="23"/>
  <c r="AW3" i="23"/>
  <c r="AX3" i="23"/>
  <c r="AY3" i="23"/>
  <c r="AZ3" i="23"/>
  <c r="BA3" i="23"/>
  <c r="BB3" i="23"/>
  <c r="BC3" i="23"/>
  <c r="BD3" i="23"/>
  <c r="BE3" i="23"/>
  <c r="BF3" i="23"/>
  <c r="BG3" i="23"/>
  <c r="BH3" i="23"/>
  <c r="BI3" i="23"/>
  <c r="BJ3" i="23"/>
  <c r="BK3" i="23"/>
  <c r="BL3" i="23"/>
  <c r="BM3" i="23"/>
  <c r="BN3" i="23"/>
  <c r="BO3" i="23"/>
  <c r="BP3" i="23"/>
  <c r="BQ3" i="23"/>
  <c r="BR3" i="23"/>
  <c r="BS3" i="23"/>
  <c r="BT3" i="23"/>
  <c r="BU3" i="23"/>
  <c r="BV3" i="23"/>
  <c r="BW3" i="23"/>
  <c r="BX3" i="23"/>
  <c r="BY3" i="23"/>
  <c r="BZ3" i="23"/>
  <c r="CA3" i="23"/>
  <c r="CB3" i="23"/>
  <c r="CC3" i="23"/>
  <c r="CD3" i="23"/>
  <c r="CE3" i="23"/>
  <c r="CF3" i="23"/>
  <c r="CG3" i="23"/>
  <c r="CH3" i="23"/>
  <c r="CI3" i="23"/>
  <c r="CJ3" i="23"/>
  <c r="CK3" i="23"/>
  <c r="CL3" i="23"/>
  <c r="CM3" i="23"/>
  <c r="CN3" i="23"/>
  <c r="CO3" i="23"/>
  <c r="CP3" i="23"/>
  <c r="CQ3" i="23"/>
  <c r="CR3" i="23"/>
  <c r="CS3" i="23"/>
  <c r="CT3" i="23"/>
  <c r="CU3" i="23"/>
  <c r="CV3" i="23"/>
  <c r="CW3" i="23"/>
  <c r="CX3" i="23"/>
  <c r="CY3" i="23"/>
  <c r="CZ3" i="23"/>
  <c r="DA3" i="23"/>
  <c r="DB3" i="23"/>
  <c r="DC3" i="23"/>
  <c r="DD3" i="23"/>
  <c r="DE3" i="23"/>
  <c r="DF3" i="23"/>
  <c r="DG3" i="23"/>
  <c r="DH3" i="23"/>
  <c r="DI3" i="23"/>
  <c r="DJ3" i="23"/>
  <c r="DK3" i="23"/>
  <c r="DL3" i="23"/>
  <c r="DM3" i="23"/>
  <c r="DN3" i="23"/>
  <c r="DO3" i="23"/>
  <c r="DP3" i="23"/>
  <c r="DQ3" i="23"/>
  <c r="DR3" i="23"/>
  <c r="DS3" i="23"/>
  <c r="DT3" i="23"/>
  <c r="DU3" i="23"/>
  <c r="DV3" i="23"/>
  <c r="DW3" i="23"/>
  <c r="DX3" i="23"/>
  <c r="DY3" i="23"/>
  <c r="DZ3" i="23"/>
  <c r="EA3" i="23"/>
  <c r="EB3" i="23"/>
  <c r="EC3" i="23"/>
  <c r="ED3" i="23"/>
  <c r="EE3" i="23"/>
  <c r="EF3" i="23"/>
  <c r="EG3" i="23"/>
  <c r="EH3" i="23"/>
  <c r="EI3" i="23"/>
  <c r="EJ3" i="23"/>
  <c r="EK3" i="23"/>
  <c r="EL3" i="23"/>
  <c r="EM3" i="23"/>
  <c r="EN3" i="23"/>
  <c r="EO3" i="23"/>
  <c r="EP3" i="23"/>
  <c r="EQ3" i="23"/>
  <c r="ER3" i="23"/>
  <c r="ES3" i="23"/>
  <c r="ET3" i="23"/>
  <c r="EU3" i="23"/>
  <c r="EV3" i="23"/>
  <c r="EW3" i="23"/>
  <c r="EX3" i="23"/>
  <c r="EY3" i="23"/>
  <c r="EZ3" i="23"/>
  <c r="FA3" i="23"/>
  <c r="FB3" i="23"/>
  <c r="FC3" i="23"/>
  <c r="FD3" i="23"/>
  <c r="FE3" i="23"/>
  <c r="FF3" i="23"/>
  <c r="FG3" i="23"/>
  <c r="FH3" i="23"/>
  <c r="FI3" i="23"/>
  <c r="FJ3" i="23"/>
  <c r="FK3" i="23"/>
  <c r="FL3" i="23"/>
  <c r="FM3" i="23"/>
  <c r="FN3" i="23"/>
  <c r="FO3" i="23"/>
  <c r="FP3" i="23"/>
  <c r="FQ3" i="23"/>
  <c r="FR3" i="23"/>
  <c r="FS3" i="23"/>
  <c r="FT3" i="23"/>
  <c r="FU3" i="23"/>
  <c r="FV3" i="23"/>
  <c r="FW3" i="23"/>
  <c r="FX3" i="23"/>
  <c r="FY3" i="23"/>
  <c r="FZ3" i="23"/>
  <c r="GA3" i="23"/>
  <c r="GB3" i="23"/>
  <c r="GC3" i="23"/>
  <c r="GD3" i="23"/>
  <c r="GE3" i="23"/>
  <c r="GF3" i="23"/>
  <c r="GG3" i="23"/>
  <c r="GH3" i="23"/>
  <c r="GI3" i="23"/>
  <c r="GJ3" i="23"/>
  <c r="GK3" i="23"/>
  <c r="GL3" i="23"/>
  <c r="GM3" i="23"/>
  <c r="GN3" i="23"/>
  <c r="GO3" i="23"/>
  <c r="GP3" i="23"/>
  <c r="GQ3" i="23"/>
  <c r="GR3" i="23"/>
  <c r="GS3" i="23"/>
  <c r="GT3" i="23"/>
  <c r="GU3" i="23"/>
  <c r="GV3" i="23"/>
  <c r="GW3" i="23"/>
  <c r="GX3" i="23"/>
  <c r="GY3" i="23"/>
  <c r="GZ3" i="23"/>
  <c r="HA3" i="23"/>
  <c r="HB3" i="23"/>
  <c r="HC3" i="23"/>
  <c r="HD3" i="23"/>
  <c r="HE3" i="23"/>
  <c r="HF3" i="23"/>
  <c r="HG3" i="23"/>
  <c r="HH3" i="23"/>
  <c r="HI3" i="23"/>
  <c r="HJ3" i="23"/>
  <c r="HK3" i="23"/>
  <c r="HL3" i="23"/>
  <c r="HM3" i="23"/>
  <c r="HN3" i="23"/>
  <c r="HO3" i="23"/>
  <c r="HP3" i="23"/>
  <c r="HQ3" i="23"/>
  <c r="HR3" i="23"/>
  <c r="HS3" i="23"/>
  <c r="HT3" i="23"/>
  <c r="HU3" i="23"/>
  <c r="HV3" i="23"/>
  <c r="HW3" i="23"/>
  <c r="HX3" i="23"/>
  <c r="HY3" i="23"/>
  <c r="HZ3" i="23"/>
  <c r="IA3" i="23"/>
  <c r="IB3" i="23"/>
  <c r="IC3" i="23"/>
  <c r="ID3" i="23"/>
  <c r="IE3" i="23"/>
  <c r="IF3" i="23"/>
  <c r="IG3" i="23"/>
  <c r="IH3" i="23"/>
  <c r="II3" i="23"/>
  <c r="IJ3" i="23"/>
  <c r="IK3" i="23"/>
  <c r="IL3" i="23"/>
  <c r="IM3" i="23"/>
  <c r="IN3" i="23"/>
  <c r="IO3" i="23"/>
  <c r="IP3" i="23"/>
  <c r="IQ3" i="23"/>
  <c r="IR3" i="23"/>
  <c r="IS3" i="23"/>
  <c r="IT3" i="23"/>
  <c r="IU3" i="23"/>
  <c r="IV3" i="23"/>
  <c r="A2" i="23"/>
  <c r="B2" i="23"/>
  <c r="C2" i="23"/>
  <c r="D2" i="23"/>
  <c r="E2" i="23"/>
  <c r="F2" i="23"/>
  <c r="G2" i="23"/>
  <c r="H2" i="23"/>
  <c r="I2" i="23"/>
  <c r="J2" i="23"/>
  <c r="K2" i="23"/>
  <c r="L2" i="23"/>
  <c r="M2" i="23"/>
  <c r="N2" i="23"/>
  <c r="O2" i="23"/>
  <c r="P2" i="23"/>
  <c r="Q2" i="23"/>
  <c r="R2" i="23"/>
  <c r="S2" i="23"/>
  <c r="T2" i="23"/>
  <c r="U2" i="23"/>
  <c r="V2" i="23"/>
  <c r="W2" i="23"/>
  <c r="X2" i="23"/>
  <c r="Y2" i="23"/>
  <c r="Z2" i="23"/>
  <c r="AA2" i="23"/>
  <c r="AB2" i="23"/>
  <c r="AC2" i="23"/>
  <c r="AD2" i="23"/>
  <c r="AE2" i="23"/>
  <c r="AF2" i="23"/>
  <c r="AG2" i="23"/>
  <c r="AH2" i="23"/>
  <c r="AI2" i="23"/>
  <c r="AJ2" i="23"/>
  <c r="AK2" i="23"/>
  <c r="AL2" i="23"/>
  <c r="AM2" i="23"/>
  <c r="AN2" i="23"/>
  <c r="AO2" i="23"/>
  <c r="AP2" i="23"/>
  <c r="AQ2" i="23"/>
  <c r="AR2" i="23"/>
  <c r="AS2" i="23"/>
  <c r="AT2" i="23"/>
  <c r="AU2" i="23"/>
  <c r="AV2" i="23"/>
  <c r="AW2" i="23"/>
  <c r="AX2" i="23"/>
  <c r="AY2" i="23"/>
  <c r="AZ2" i="23"/>
  <c r="BA2" i="23"/>
  <c r="BB2" i="23"/>
  <c r="BC2" i="23"/>
  <c r="BD2" i="23"/>
  <c r="BE2" i="23"/>
  <c r="BF2" i="23"/>
  <c r="BG2" i="23"/>
  <c r="BH2" i="23"/>
  <c r="BI2" i="23"/>
  <c r="BJ2" i="23"/>
  <c r="BK2" i="23"/>
  <c r="BL2" i="23"/>
  <c r="BM2" i="23"/>
  <c r="BN2" i="23"/>
  <c r="BO2" i="23"/>
  <c r="BP2" i="23"/>
  <c r="BQ2" i="23"/>
  <c r="BR2" i="23"/>
  <c r="BS2" i="23"/>
  <c r="BT2" i="23"/>
  <c r="BU2" i="23"/>
  <c r="BV2" i="23"/>
  <c r="BW2" i="23"/>
  <c r="BX2" i="23"/>
  <c r="BY2" i="23"/>
  <c r="BZ2" i="23"/>
  <c r="CA2" i="23"/>
  <c r="CB2" i="23"/>
  <c r="CC2" i="23"/>
  <c r="CD2" i="23"/>
  <c r="CE2" i="23"/>
  <c r="CF2" i="23"/>
  <c r="CG2" i="23"/>
  <c r="CH2" i="23"/>
  <c r="CI2" i="23"/>
  <c r="CJ2" i="23"/>
  <c r="CK2" i="23"/>
  <c r="CL2" i="23"/>
  <c r="CM2" i="23"/>
  <c r="CN2" i="23"/>
  <c r="CO2" i="23"/>
  <c r="CP2" i="23"/>
  <c r="CQ2" i="23"/>
  <c r="CR2" i="23"/>
  <c r="CS2" i="23"/>
  <c r="CT2" i="23"/>
  <c r="CU2" i="23"/>
  <c r="CV2" i="23"/>
  <c r="CW2" i="23"/>
  <c r="CX2" i="23"/>
  <c r="CY2" i="23"/>
  <c r="CZ2" i="23"/>
  <c r="DA2" i="23"/>
  <c r="DB2" i="23"/>
  <c r="DC2" i="23"/>
  <c r="DD2" i="23"/>
  <c r="DE2" i="23"/>
  <c r="DF2" i="23"/>
  <c r="DG2" i="23"/>
  <c r="DH2" i="23"/>
  <c r="DI2" i="23"/>
  <c r="DJ2" i="23"/>
  <c r="DK2" i="23"/>
  <c r="DL2" i="23"/>
  <c r="DM2" i="23"/>
  <c r="DN2" i="23"/>
  <c r="DO2" i="23"/>
  <c r="DP2" i="23"/>
  <c r="DQ2" i="23"/>
  <c r="DR2" i="23"/>
  <c r="DS2" i="23"/>
  <c r="DT2" i="23"/>
  <c r="DU2" i="23"/>
  <c r="DV2" i="23"/>
  <c r="DW2" i="23"/>
  <c r="DX2" i="23"/>
  <c r="DY2" i="23"/>
  <c r="DZ2" i="23"/>
  <c r="EA2" i="23"/>
  <c r="EB2" i="23"/>
  <c r="EC2" i="23"/>
  <c r="ED2" i="23"/>
  <c r="EE2" i="23"/>
  <c r="EF2" i="23"/>
  <c r="EG2" i="23"/>
  <c r="EH2" i="23"/>
  <c r="EI2" i="23"/>
  <c r="EJ2" i="23"/>
  <c r="EK2" i="23"/>
  <c r="EL2" i="23"/>
  <c r="EM2" i="23"/>
  <c r="EN2" i="23"/>
  <c r="EO2" i="23"/>
  <c r="EP2" i="23"/>
  <c r="EQ2" i="23"/>
  <c r="ER2" i="23"/>
  <c r="ES2" i="23"/>
  <c r="ET2" i="23"/>
  <c r="EU2" i="23"/>
  <c r="EV2" i="23"/>
  <c r="EW2" i="23"/>
  <c r="EX2" i="23"/>
  <c r="EY2" i="23"/>
  <c r="EZ2" i="23"/>
  <c r="FA2" i="23"/>
  <c r="FB2" i="23"/>
  <c r="FC2" i="23"/>
  <c r="FD2" i="23"/>
  <c r="FE2" i="23"/>
  <c r="FF2" i="23"/>
  <c r="FG2" i="23"/>
  <c r="FH2" i="23"/>
  <c r="FI2" i="23"/>
  <c r="FJ2" i="23"/>
  <c r="FK2" i="23"/>
  <c r="FL2" i="23"/>
  <c r="FM2" i="23"/>
  <c r="FN2" i="23"/>
  <c r="FO2" i="23"/>
  <c r="FP2" i="23"/>
  <c r="FQ2" i="23"/>
  <c r="FR2" i="23"/>
  <c r="FS2" i="23"/>
  <c r="FT2" i="23"/>
  <c r="FU2" i="23"/>
  <c r="FV2" i="23"/>
  <c r="FW2" i="23"/>
  <c r="FX2" i="23"/>
  <c r="FY2" i="23"/>
  <c r="FZ2" i="23"/>
  <c r="GA2" i="23"/>
  <c r="GB2" i="23"/>
  <c r="GC2" i="23"/>
  <c r="GD2" i="23"/>
  <c r="GE2" i="23"/>
  <c r="GF2" i="23"/>
  <c r="GG2" i="23"/>
  <c r="GH2" i="23"/>
  <c r="GI2" i="23"/>
  <c r="GJ2" i="23"/>
  <c r="GK2" i="23"/>
  <c r="GL2" i="23"/>
  <c r="GM2" i="23"/>
  <c r="GN2" i="23"/>
  <c r="GO2" i="23"/>
  <c r="GP2" i="23"/>
  <c r="GQ2" i="23"/>
  <c r="GR2" i="23"/>
  <c r="GS2" i="23"/>
  <c r="GT2" i="23"/>
  <c r="GU2" i="23"/>
  <c r="GV2" i="23"/>
  <c r="GW2" i="23"/>
  <c r="GX2" i="23"/>
  <c r="GY2" i="23"/>
  <c r="GZ2" i="23"/>
  <c r="HA2" i="23"/>
  <c r="HB2" i="23"/>
  <c r="HC2" i="23"/>
  <c r="HD2" i="23"/>
  <c r="HE2" i="23"/>
  <c r="HF2" i="23"/>
  <c r="HG2" i="23"/>
  <c r="HH2" i="23"/>
  <c r="HI2" i="23"/>
  <c r="HJ2" i="23"/>
  <c r="HK2" i="23"/>
  <c r="HL2" i="23"/>
  <c r="HM2" i="23"/>
  <c r="HN2" i="23"/>
  <c r="HO2" i="23"/>
  <c r="HP2" i="23"/>
  <c r="HQ2" i="23"/>
  <c r="HR2" i="23"/>
  <c r="HS2" i="23"/>
  <c r="HT2" i="23"/>
  <c r="HU2" i="23"/>
  <c r="HV2" i="23"/>
  <c r="HW2" i="23"/>
  <c r="HX2" i="23"/>
  <c r="HY2" i="23"/>
  <c r="HZ2" i="23"/>
  <c r="IA2" i="23"/>
  <c r="IB2" i="23"/>
  <c r="IC2" i="23"/>
  <c r="ID2" i="23"/>
  <c r="IE2" i="23"/>
  <c r="IF2" i="23"/>
  <c r="IG2" i="23"/>
  <c r="IH2" i="23"/>
  <c r="II2" i="23"/>
  <c r="IJ2" i="23"/>
  <c r="IK2" i="23"/>
  <c r="IL2" i="23"/>
  <c r="IM2" i="23"/>
  <c r="IN2" i="23"/>
  <c r="IO2" i="23"/>
  <c r="IP2" i="23"/>
  <c r="IQ2" i="23"/>
  <c r="IR2" i="23"/>
  <c r="IS2" i="23"/>
  <c r="IT2" i="23"/>
  <c r="IU2" i="23"/>
  <c r="IV2" i="23"/>
  <c r="A1" i="23"/>
  <c r="B1" i="23"/>
  <c r="C1" i="23"/>
  <c r="D1" i="23"/>
  <c r="E1" i="23"/>
  <c r="F1" i="23"/>
  <c r="G1" i="23"/>
  <c r="H1" i="23"/>
  <c r="I1" i="23"/>
  <c r="J1" i="23"/>
  <c r="K1" i="23"/>
  <c r="L1" i="23"/>
  <c r="M1" i="23"/>
  <c r="N1" i="23"/>
  <c r="O1" i="23"/>
  <c r="P1" i="23"/>
  <c r="Q1" i="23"/>
  <c r="R1" i="23"/>
  <c r="S1" i="23"/>
  <c r="T1" i="23"/>
  <c r="U1" i="23"/>
  <c r="V1" i="23"/>
  <c r="W1" i="23"/>
  <c r="X1" i="23"/>
  <c r="Y1" i="23"/>
  <c r="Z1" i="23"/>
  <c r="AA1" i="23"/>
  <c r="AB1" i="23"/>
  <c r="AC1" i="23"/>
  <c r="AD1" i="23"/>
  <c r="AE1" i="23"/>
  <c r="AF1" i="23"/>
  <c r="AG1" i="23"/>
  <c r="AH1" i="23"/>
  <c r="AI1" i="23"/>
  <c r="AJ1" i="23"/>
  <c r="AK1" i="23"/>
  <c r="AL1" i="23"/>
  <c r="AM1" i="23"/>
  <c r="AN1" i="23"/>
  <c r="AO1" i="23"/>
  <c r="AP1" i="23"/>
  <c r="AQ1" i="23"/>
  <c r="AR1" i="23"/>
  <c r="AS1" i="23"/>
  <c r="AT1" i="23"/>
  <c r="AU1" i="23"/>
  <c r="AV1" i="23"/>
  <c r="AW1" i="23"/>
  <c r="AX1" i="23"/>
  <c r="AY1" i="23"/>
  <c r="AZ1" i="23"/>
  <c r="BA1" i="23"/>
  <c r="BB1" i="23"/>
  <c r="BC1" i="23"/>
  <c r="BD1" i="23"/>
  <c r="BE1" i="23"/>
  <c r="BF1" i="23"/>
  <c r="BG1" i="23"/>
  <c r="BH1" i="23"/>
  <c r="BI1" i="23"/>
  <c r="BJ1" i="23"/>
  <c r="BK1" i="23"/>
  <c r="BL1" i="23"/>
  <c r="BM1" i="23"/>
  <c r="BN1" i="23"/>
  <c r="BO1" i="23"/>
  <c r="BP1" i="23"/>
  <c r="BQ1" i="23"/>
  <c r="BR1" i="23"/>
  <c r="BS1" i="23"/>
  <c r="BT1" i="23"/>
  <c r="BU1" i="23"/>
  <c r="BV1" i="23"/>
  <c r="BW1" i="23"/>
  <c r="BX1" i="23"/>
  <c r="BY1" i="23"/>
  <c r="BZ1" i="23"/>
  <c r="CA1" i="23"/>
  <c r="CB1" i="23"/>
  <c r="CC1" i="23"/>
  <c r="CD1" i="23"/>
  <c r="CE1" i="23"/>
  <c r="CF1" i="23"/>
  <c r="CG1" i="23"/>
  <c r="CH1" i="23"/>
  <c r="CI1" i="23"/>
  <c r="CJ1" i="23"/>
  <c r="CK1" i="23"/>
  <c r="CL1" i="23"/>
  <c r="CM1" i="23"/>
  <c r="CN1" i="23"/>
  <c r="CO1" i="23"/>
  <c r="CP1" i="23"/>
  <c r="CQ1" i="23"/>
  <c r="CR1" i="23"/>
  <c r="CS1" i="23"/>
  <c r="CT1" i="23"/>
  <c r="CU1" i="23"/>
  <c r="CV1" i="23"/>
  <c r="CW1" i="23"/>
  <c r="CX1" i="23"/>
  <c r="CY1" i="23"/>
  <c r="CZ1" i="23"/>
  <c r="DA1" i="23"/>
  <c r="DB1" i="23"/>
  <c r="DC1" i="23"/>
  <c r="DD1" i="23"/>
  <c r="DE1" i="23"/>
  <c r="DF1" i="23"/>
  <c r="DG1" i="23"/>
  <c r="DH1" i="23"/>
  <c r="DI1" i="23"/>
  <c r="DJ1" i="23"/>
  <c r="DK1" i="23"/>
  <c r="DL1" i="23"/>
  <c r="DM1" i="23"/>
  <c r="DN1" i="23"/>
  <c r="DO1" i="23"/>
  <c r="DP1" i="23"/>
  <c r="DQ1" i="23"/>
  <c r="DR1" i="23"/>
  <c r="DS1" i="23"/>
  <c r="DT1" i="23"/>
  <c r="DU1" i="23"/>
  <c r="DV1" i="23"/>
  <c r="DW1" i="23"/>
  <c r="DX1" i="23"/>
  <c r="DY1" i="23"/>
  <c r="DZ1" i="23"/>
  <c r="EA1" i="23"/>
  <c r="EB1" i="23"/>
  <c r="EC1" i="23"/>
  <c r="ED1" i="23"/>
  <c r="EE1" i="23"/>
  <c r="EF1" i="23"/>
  <c r="EG1" i="23"/>
  <c r="EH1" i="23"/>
  <c r="EI1" i="23"/>
  <c r="EJ1" i="23"/>
  <c r="EK1" i="23"/>
  <c r="EL1" i="23"/>
  <c r="EM1" i="23"/>
  <c r="EN1" i="23"/>
  <c r="EO1" i="23"/>
  <c r="EP1" i="23"/>
  <c r="EQ1" i="23"/>
  <c r="ER1" i="23"/>
  <c r="ES1" i="23"/>
  <c r="ET1" i="23"/>
  <c r="EU1" i="23"/>
  <c r="EV1" i="23"/>
  <c r="EW1" i="23"/>
  <c r="EX1" i="23"/>
  <c r="EY1" i="23"/>
  <c r="EZ1" i="23"/>
  <c r="FA1" i="23"/>
  <c r="FB1" i="23"/>
  <c r="FC1" i="23"/>
  <c r="FD1" i="23"/>
  <c r="FE1" i="23"/>
  <c r="FF1" i="23"/>
  <c r="FG1" i="23"/>
  <c r="FH1" i="23"/>
  <c r="FI1" i="23"/>
  <c r="FJ1" i="23"/>
  <c r="FK1" i="23"/>
  <c r="FL1" i="23"/>
  <c r="FM1" i="23"/>
  <c r="FN1" i="23"/>
  <c r="FO1" i="23"/>
  <c r="FP1" i="23"/>
  <c r="FQ1" i="23"/>
  <c r="FR1" i="23"/>
  <c r="FS1" i="23"/>
  <c r="FT1" i="23"/>
  <c r="FU1" i="23"/>
  <c r="FV1" i="23"/>
  <c r="FW1" i="23"/>
  <c r="FX1" i="23"/>
  <c r="FY1" i="23"/>
  <c r="FZ1" i="23"/>
  <c r="GA1" i="23"/>
  <c r="GB1" i="23"/>
  <c r="GC1" i="23"/>
  <c r="GD1" i="23"/>
  <c r="GE1" i="23"/>
  <c r="GF1" i="23"/>
  <c r="GG1" i="23"/>
  <c r="GH1" i="23"/>
  <c r="GI1" i="23"/>
  <c r="GJ1" i="23"/>
  <c r="GK1" i="23"/>
  <c r="GL1" i="23"/>
  <c r="GM1" i="23"/>
  <c r="GN1" i="23"/>
  <c r="GO1" i="23"/>
  <c r="GP1" i="23"/>
  <c r="GQ1" i="23"/>
  <c r="GR1" i="23"/>
  <c r="GS1" i="23"/>
  <c r="GT1" i="23"/>
  <c r="GU1" i="23"/>
  <c r="GV1" i="23"/>
  <c r="GW1" i="23"/>
  <c r="GX1" i="23"/>
  <c r="GY1" i="23"/>
  <c r="GZ1" i="23"/>
  <c r="HA1" i="23"/>
  <c r="HB1" i="23"/>
  <c r="HC1" i="23"/>
  <c r="HD1" i="23"/>
  <c r="HE1" i="23"/>
  <c r="HF1" i="23"/>
  <c r="HG1" i="23"/>
  <c r="HH1" i="23"/>
  <c r="HI1" i="23"/>
  <c r="HJ1" i="23"/>
  <c r="HK1" i="23"/>
  <c r="HL1" i="23"/>
  <c r="HM1" i="23"/>
  <c r="HN1" i="23"/>
  <c r="HO1" i="23"/>
  <c r="HP1" i="23"/>
  <c r="HQ1" i="23"/>
  <c r="HR1" i="23"/>
  <c r="HS1" i="23"/>
  <c r="HT1" i="23"/>
  <c r="HU1" i="23"/>
  <c r="HV1" i="23"/>
  <c r="HW1" i="23"/>
  <c r="HX1" i="23"/>
  <c r="HY1" i="23"/>
  <c r="HZ1" i="23"/>
  <c r="IA1" i="23"/>
  <c r="IB1" i="23"/>
  <c r="IC1" i="23"/>
  <c r="ID1" i="23"/>
  <c r="IE1" i="23"/>
  <c r="IF1" i="23"/>
  <c r="IG1" i="23"/>
  <c r="IH1" i="23"/>
  <c r="II1" i="23"/>
  <c r="IJ1" i="23"/>
  <c r="IK1" i="23"/>
  <c r="IL1" i="23"/>
  <c r="IM1" i="23"/>
  <c r="IN1" i="23"/>
  <c r="IO1" i="23"/>
  <c r="IP1" i="23"/>
  <c r="IQ1" i="23"/>
  <c r="IR1" i="23"/>
  <c r="IS1" i="23"/>
  <c r="IT1" i="23"/>
  <c r="IU1" i="23"/>
  <c r="IV1" i="23"/>
  <c r="AC4" i="15"/>
  <c r="X4" i="15"/>
  <c r="S4" i="15"/>
  <c r="I49" i="15"/>
  <c r="D49" i="15"/>
  <c r="AC32" i="15"/>
  <c r="X32" i="15"/>
  <c r="S32" i="15"/>
  <c r="N32" i="15"/>
  <c r="I32" i="15"/>
  <c r="D32" i="15"/>
  <c r="S23" i="15"/>
  <c r="N23" i="15"/>
  <c r="I23" i="15"/>
  <c r="N4" i="15"/>
  <c r="I4" i="15"/>
  <c r="D4" i="15"/>
</calcChain>
</file>

<file path=xl/sharedStrings.xml><?xml version="1.0" encoding="utf-8"?>
<sst xmlns="http://schemas.openxmlformats.org/spreadsheetml/2006/main" count="271" uniqueCount="49">
  <si>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</si>
  <si>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</si>
  <si>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</si>
  <si>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</si>
  <si>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</si>
  <si>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</si>
  <si>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</si>
  <si>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</si>
  <si>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</si>
  <si>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</si>
  <si>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</si>
  <si>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</si>
  <si>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Growth rate(%)</t>
  </si>
  <si>
    <t>Passengers Car - Production</t>
  </si>
  <si>
    <t>Passengers Car - Sales</t>
  </si>
  <si>
    <t>M&amp;HCV - Production</t>
  </si>
  <si>
    <t>M&amp;HCV - Sales</t>
  </si>
  <si>
    <t>LCV - Production</t>
  </si>
  <si>
    <t>LCV - Sales</t>
  </si>
  <si>
    <t>Scooter - Production</t>
  </si>
  <si>
    <t>Scooter - Sales</t>
  </si>
  <si>
    <t>Motorcycles - Production</t>
  </si>
  <si>
    <t>Motorcycles - Sales</t>
  </si>
  <si>
    <t>Mopeds - Sales</t>
  </si>
  <si>
    <t>Mopeds - Production</t>
  </si>
  <si>
    <t>Three Wheeler - Production</t>
  </si>
  <si>
    <t>Three Wheeler - Sales</t>
  </si>
  <si>
    <t>Commercial Vehicle - Month wise Production &amp;  Sales (Domestic + Export)</t>
  </si>
  <si>
    <t>Passenger Vehicle - Month wise Production &amp;  Sales (Domestic + Export)</t>
  </si>
  <si>
    <t>2 Wheelers - Month wise Production &amp;  Sales (Domestic + Export)</t>
  </si>
  <si>
    <t>Three Wheelers - Month wise Production &amp;  Sales (Domestic + Export)</t>
  </si>
  <si>
    <t>UV  - Production</t>
  </si>
  <si>
    <t>UV  - Sales</t>
  </si>
  <si>
    <t>Three Wheeler (In thousand)</t>
  </si>
  <si>
    <t>2 Wheeler (In thousand)</t>
  </si>
  <si>
    <t>Commercial Vehicle (In thousand)</t>
  </si>
  <si>
    <t>Passenger Vehicle(In thousand)</t>
  </si>
  <si>
    <t>Source: SIAM</t>
  </si>
  <si>
    <t>AAAAAFbzSVM=</t>
  </si>
  <si>
    <t>AAAAAFbzSVQ=</t>
  </si>
  <si>
    <t>AAAAAFbzSVU=</t>
  </si>
  <si>
    <t>Vans  - Sales</t>
  </si>
  <si>
    <t>Vans  - Production</t>
  </si>
  <si>
    <t>FY 2021-22</t>
  </si>
  <si>
    <t>Q1</t>
  </si>
  <si>
    <t>Q2</t>
  </si>
  <si>
    <t>Q3</t>
  </si>
  <si>
    <t>Q4</t>
  </si>
  <si>
    <t>FY 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</si>
</sst>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u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3" fontId="0" fillId="0" borderId="0" xfId="0" applyNumberFormat="1"/>
    <xf numFmtId="0" fontId="2" fillId="0" borderId="0" xfId="0" applyFont="1"/>
    <xf numFmtId="0" fontId="2" fillId="0" borderId="0" xfId="0" applyFont="1" applyAlignment="1">
      <alignment horizontal="right"/>
    </xf>
    <xf numFmtId="9" fontId="0" fillId="0" borderId="0" xfId="2" applyFont="1"/>
    <xf numFmtId="164" fontId="0" fillId="0" borderId="0" xfId="1" applyNumberFormat="1" applyFont="1"/>
    <xf numFmtId="164" fontId="0" fillId="0" borderId="0" xfId="1" applyNumberFormat="1" applyFont="1" applyAlignment="1">
      <alignment horizontal="right"/>
    </xf>
    <xf numFmtId="164" fontId="0" fillId="0" borderId="0" xfId="1" applyNumberFormat="1" applyFont="1" applyAlignment="1"/>
    <xf numFmtId="3" fontId="4" fillId="0" borderId="0" xfId="0" applyNumberFormat="1" applyFont="1" applyBorder="1" applyAlignment="1">
      <alignment vertical="center"/>
    </xf>
    <xf numFmtId="9" fontId="1" fillId="0" borderId="0" xfId="2" applyNumberFormat="1"/>
    <xf numFmtId="43" fontId="0" fillId="0" borderId="0" xfId="1" applyFont="1"/>
    <xf numFmtId="0" fontId="2" fillId="0" borderId="0" xfId="0" applyFont="1" applyAlignment="1"/>
    <xf numFmtId="164" fontId="0" fillId="2" borderId="0" xfId="1" applyNumberFormat="1" applyFont="1" applyFill="1"/>
    <xf numFmtId="0" fontId="5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538494558344023E-2"/>
          <c:y val="6.1904905842880033E-2"/>
          <c:w val="0.87692354745640222"/>
          <c:h val="0.771430365118966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'!$B$3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'!$B$4:$B$15</c:f>
              <c:numCache>
                <c:formatCode>_(* #,##0_);_(* \(#,##0\);_(* "-"??_);_(@_)</c:formatCode>
                <c:ptCount val="12"/>
                <c:pt idx="0">
                  <c:v>167</c:v>
                </c:pt>
                <c:pt idx="1">
                  <c:v>64</c:v>
                </c:pt>
                <c:pt idx="2">
                  <c:v>168</c:v>
                </c:pt>
                <c:pt idx="3">
                  <c:v>175</c:v>
                </c:pt>
                <c:pt idx="4">
                  <c:v>126</c:v>
                </c:pt>
                <c:pt idx="5">
                  <c:v>87</c:v>
                </c:pt>
                <c:pt idx="6">
                  <c:v>126</c:v>
                </c:pt>
                <c:pt idx="7">
                  <c:v>134</c:v>
                </c:pt>
                <c:pt idx="8">
                  <c:v>155</c:v>
                </c:pt>
                <c:pt idx="9">
                  <c:v>159</c:v>
                </c:pt>
                <c:pt idx="10">
                  <c:v>170</c:v>
                </c:pt>
                <c:pt idx="11">
                  <c:v>168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0B3-41F2-8564-115835476866}"/>
            </c:ext>
          </c:extLst>
        </c:ser>
        <c:ser>
          <c:idx val="1"/>
          <c:order val="1"/>
          <c:tx>
            <c:strRef>
              <c:f>'Data '!$C$3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0512643122106858E-3"/>
                  <c:y val="-5.225443028399374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0B3-41F2-8564-11583547686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'!$C$4:$C$15</c:f>
              <c:numCache>
                <c:formatCode>_(* #,##0_);_(* \(#,##0\);_(* "-"??_);_(@_)</c:formatCode>
                <c:ptCount val="12"/>
                <c:pt idx="0">
                  <c:v>149</c:v>
                </c:pt>
                <c:pt idx="1">
                  <c:v>158</c:v>
                </c:pt>
                <c:pt idx="2">
                  <c:v>159</c:v>
                </c:pt>
                <c:pt idx="3">
                  <c:v>180</c:v>
                </c:pt>
                <c:pt idx="4">
                  <c:v>161</c:v>
                </c:pt>
                <c:pt idx="5">
                  <c:v>187</c:v>
                </c:pt>
                <c:pt idx="6">
                  <c:v>170</c:v>
                </c:pt>
                <c:pt idx="7">
                  <c:v>172</c:v>
                </c:pt>
                <c:pt idx="8">
                  <c:v>141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0B3-41F2-8564-1158354768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290432"/>
        <c:axId val="121292000"/>
      </c:barChart>
      <c:lineChart>
        <c:grouping val="standard"/>
        <c:varyColors val="0"/>
        <c:ser>
          <c:idx val="2"/>
          <c:order val="2"/>
          <c:tx>
            <c:strRef>
              <c:f>'Data '!$D$3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1.1446978380996108E-2"/>
                  <c:y val="3.97719190854504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0B3-41F2-8564-11583547686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5860162653892931E-3"/>
                  <c:y val="-2.66040718279060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0B3-41F2-8564-115835476866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2052017692199017E-3"/>
                  <c:y val="-4.84128751017514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0B3-41F2-8564-11583547686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'!$D$4:$D$15</c:f>
              <c:numCache>
                <c:formatCode>0%</c:formatCode>
                <c:ptCount val="12"/>
                <c:pt idx="0">
                  <c:v>-0.10778443113772455</c:v>
                </c:pt>
                <c:pt idx="1">
                  <c:v>1.46875</c:v>
                </c:pt>
                <c:pt idx="2">
                  <c:v>-5.3571428571428568E-2</c:v>
                </c:pt>
                <c:pt idx="3">
                  <c:v>2.8571428571428571E-2</c:v>
                </c:pt>
                <c:pt idx="4">
                  <c:v>0.27777777777777779</c:v>
                </c:pt>
                <c:pt idx="5">
                  <c:v>1.1494252873563218</c:v>
                </c:pt>
                <c:pt idx="6">
                  <c:v>0.34920634920634919</c:v>
                </c:pt>
                <c:pt idx="7">
                  <c:v>0.28358208955223879</c:v>
                </c:pt>
                <c:pt idx="8">
                  <c:v>-9.0322580645161285E-2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30B3-41F2-8564-1158354768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291216"/>
        <c:axId val="121290040"/>
      </c:lineChart>
      <c:catAx>
        <c:axId val="121290432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292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292000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290432"/>
        <c:crosses val="autoZero"/>
        <c:crossBetween val="between"/>
      </c:valAx>
      <c:catAx>
        <c:axId val="1212912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21290040"/>
        <c:crosses val="autoZero"/>
        <c:auto val="1"/>
        <c:lblAlgn val="ctr"/>
        <c:lblOffset val="100"/>
        <c:noMultiLvlLbl val="0"/>
      </c:catAx>
      <c:valAx>
        <c:axId val="121290040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291216"/>
        <c:crosses val="max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3179491160220303"/>
          <c:y val="0.93031015033875086"/>
          <c:w val="0.36483562161053246"/>
          <c:h val="5.34847298975240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986870897155374E-2"/>
          <c:y val="6.1320825334455757E-2"/>
          <c:w val="0.88512035010940915"/>
          <c:h val="0.773585796526980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'!$Q$22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-1.2283809162804334E-2"/>
                  <c:y val="-3.522008006259619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B7E-4603-9F77-A30FF00A994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'!$P$23:$P$26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'!$Q$23:$Q$26</c:f>
              <c:numCache>
                <c:formatCode>_(* #,##0_);_(* \(#,##0\);_(* "-"??_);_(@_)</c:formatCode>
                <c:ptCount val="4"/>
                <c:pt idx="0">
                  <c:v>77</c:v>
                </c:pt>
                <c:pt idx="1">
                  <c:v>215</c:v>
                </c:pt>
                <c:pt idx="2">
                  <c:v>363</c:v>
                </c:pt>
                <c:pt idx="3">
                  <c:v>536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B7E-4603-9F77-A30FF00A9949}"/>
            </c:ext>
          </c:extLst>
        </c:ser>
        <c:ser>
          <c:idx val="1"/>
          <c:order val="1"/>
          <c:tx>
            <c:strRef>
              <c:f>'Data '!$R$22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3837362233440742E-2"/>
                  <c:y val="-2.23269983015899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B7E-4603-9F77-A30FF00A994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499738681461315E-2"/>
                  <c:y val="6.603748690998309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B7E-4603-9F77-A30FF00A994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'!$P$23:$P$26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'!$R$23:$R$26</c:f>
              <c:numCache>
                <c:formatCode>_(* #,##0_);_(* \(#,##0\);_(* "-"??_);_(@_)</c:formatCode>
                <c:ptCount val="4"/>
                <c:pt idx="0">
                  <c:v>149</c:v>
                </c:pt>
                <c:pt idx="1">
                  <c:v>331</c:v>
                </c:pt>
                <c:pt idx="2">
                  <c:v>486.214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B7E-4603-9F77-A30FF00A99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6107376"/>
        <c:axId val="376535048"/>
      </c:barChart>
      <c:lineChart>
        <c:grouping val="standard"/>
        <c:varyColors val="0"/>
        <c:ser>
          <c:idx val="2"/>
          <c:order val="2"/>
          <c:tx>
            <c:strRef>
              <c:f>'Data '!$S$22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1927439595214707E-2"/>
                  <c:y val="-3.82814776992693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9B7E-4603-9F77-A30FF00A994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368045624494108E-4"/>
                  <c:y val="2.50508737893986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9B7E-4603-9F77-A30FF00A994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'!$P$23:$P$26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'!$S$23:$S$26</c:f>
              <c:numCache>
                <c:formatCode>0%</c:formatCode>
                <c:ptCount val="4"/>
                <c:pt idx="0">
                  <c:v>0.93506493506493504</c:v>
                </c:pt>
                <c:pt idx="1">
                  <c:v>0.53953488372093028</c:v>
                </c:pt>
                <c:pt idx="2">
                  <c:v>0.33943250688705234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9B7E-4603-9F77-A30FF00A99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532696"/>
        <c:axId val="376535440"/>
      </c:lineChart>
      <c:catAx>
        <c:axId val="376107376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6535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6535048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6107376"/>
        <c:crosses val="autoZero"/>
        <c:crossBetween val="between"/>
      </c:valAx>
      <c:catAx>
        <c:axId val="3765326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76535440"/>
        <c:crosses val="autoZero"/>
        <c:auto val="1"/>
        <c:lblAlgn val="ctr"/>
        <c:lblOffset val="100"/>
        <c:noMultiLvlLbl val="0"/>
      </c:catAx>
      <c:valAx>
        <c:axId val="376535440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653269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947506344811577"/>
          <c:y val="0.93109120075120311"/>
          <c:w val="0.36323877076977545"/>
          <c:h val="5.28846981493798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222289737727587E-2"/>
          <c:y val="6.2953995157384993E-2"/>
          <c:w val="0.87555650559516651"/>
          <c:h val="0.767554479418886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'!$B$48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8677413981381687E-3"/>
                  <c:y val="-4.802196335627535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2E4-4FCA-95B7-F59A819628F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7873059329888589E-2"/>
                  <c:y val="-3.267150928167875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2E4-4FCA-95B7-F59A819628F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'!$A$49:$A$60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'!$B$49:$B$60</c:f>
              <c:numCache>
                <c:formatCode>_(* #,##0_);_(* \(#,##0\);_(* "-"??_);_(@_)</c:formatCode>
                <c:ptCount val="12"/>
                <c:pt idx="0">
                  <c:v>64</c:v>
                </c:pt>
                <c:pt idx="1">
                  <c:v>47</c:v>
                </c:pt>
                <c:pt idx="2">
                  <c:v>52</c:v>
                </c:pt>
                <c:pt idx="3">
                  <c:v>63</c:v>
                </c:pt>
                <c:pt idx="4">
                  <c:v>60</c:v>
                </c:pt>
                <c:pt idx="5">
                  <c:v>67</c:v>
                </c:pt>
                <c:pt idx="6">
                  <c:v>73</c:v>
                </c:pt>
                <c:pt idx="7">
                  <c:v>61</c:v>
                </c:pt>
                <c:pt idx="8">
                  <c:v>67</c:v>
                </c:pt>
                <c:pt idx="9">
                  <c:v>68</c:v>
                </c:pt>
                <c:pt idx="10">
                  <c:v>64</c:v>
                </c:pt>
                <c:pt idx="11">
                  <c:v>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2E4-4FCA-95B7-F59A819628FC}"/>
            </c:ext>
          </c:extLst>
        </c:ser>
        <c:ser>
          <c:idx val="1"/>
          <c:order val="1"/>
          <c:tx>
            <c:strRef>
              <c:f>'Data '!$C$48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8687787016665215E-2"/>
                  <c:y val="-1.0565035302790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2E4-4FCA-95B7-F59A819628F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3914355556190203E-3"/>
                  <c:y val="-9.790216900853465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2E4-4FCA-95B7-F59A819628F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0539693416463357E-2"/>
                  <c:y val="1.493203180110980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E2E4-4FCA-95B7-F59A819628F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'!$A$49:$A$60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'!$C$49:$C$60</c:f>
              <c:numCache>
                <c:formatCode>_(* #,##0_);_(* \(#,##0\);_(* "-"??_);_(@_)</c:formatCode>
                <c:ptCount val="12"/>
                <c:pt idx="0">
                  <c:v>50</c:v>
                </c:pt>
                <c:pt idx="1">
                  <c:v>60</c:v>
                </c:pt>
                <c:pt idx="2">
                  <c:v>62</c:v>
                </c:pt>
                <c:pt idx="3">
                  <c:v>68</c:v>
                </c:pt>
                <c:pt idx="4">
                  <c:v>81</c:v>
                </c:pt>
                <c:pt idx="5">
                  <c:v>88</c:v>
                </c:pt>
                <c:pt idx="6">
                  <c:v>86</c:v>
                </c:pt>
                <c:pt idx="7">
                  <c:v>78</c:v>
                </c:pt>
                <c:pt idx="8">
                  <c:v>63.37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2E4-4FCA-95B7-F59A819628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6535832"/>
        <c:axId val="376533088"/>
      </c:barChart>
      <c:lineChart>
        <c:grouping val="standard"/>
        <c:varyColors val="0"/>
        <c:ser>
          <c:idx val="2"/>
          <c:order val="2"/>
          <c:tx>
            <c:strRef>
              <c:f>'Data '!$D$48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907416465782011E-2"/>
                  <c:y val="-4.70908085641836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E2E4-4FCA-95B7-F59A819628F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6.4815850327865909E-3"/>
                  <c:y val="7.03671363113508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E2E4-4FCA-95B7-F59A819628F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7777981403351863E-3"/>
                  <c:y val="1.47568842030338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E2E4-4FCA-95B7-F59A819628F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'!$A$49:$A$60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'!$D$49:$D$60</c:f>
              <c:numCache>
                <c:formatCode>0%</c:formatCode>
                <c:ptCount val="12"/>
                <c:pt idx="0">
                  <c:v>-0.21875</c:v>
                </c:pt>
                <c:pt idx="1">
                  <c:v>0.27659574468085107</c:v>
                </c:pt>
                <c:pt idx="2">
                  <c:v>0.19230769230769232</c:v>
                </c:pt>
                <c:pt idx="3">
                  <c:v>7.9365079365079361E-2</c:v>
                </c:pt>
                <c:pt idx="4">
                  <c:v>0.35</c:v>
                </c:pt>
                <c:pt idx="5">
                  <c:v>0.31343283582089554</c:v>
                </c:pt>
                <c:pt idx="6">
                  <c:v>0.17808219178082191</c:v>
                </c:pt>
                <c:pt idx="7">
                  <c:v>0.27868852459016391</c:v>
                </c:pt>
                <c:pt idx="8">
                  <c:v>-5.4179104477611977E-2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E2E4-4FCA-95B7-F59A819628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536224"/>
        <c:axId val="376533480"/>
      </c:lineChart>
      <c:catAx>
        <c:axId val="376535832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6533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6533088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6535832"/>
        <c:crosses val="autoZero"/>
        <c:crossBetween val="between"/>
      </c:valAx>
      <c:catAx>
        <c:axId val="3765362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76533480"/>
        <c:crosses val="autoZero"/>
        <c:auto val="1"/>
        <c:lblAlgn val="ctr"/>
        <c:lblOffset val="100"/>
        <c:noMultiLvlLbl val="0"/>
      </c:catAx>
      <c:valAx>
        <c:axId val="376533480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653622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555561262218118"/>
          <c:y val="0.92751422111945336"/>
          <c:w val="0.36888895560057794"/>
          <c:h val="5.436584244572285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153196834895286E-2"/>
          <c:y val="6.2802080507624994E-2"/>
          <c:w val="0.87569414826307823"/>
          <c:h val="0.768117753900951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'!$G$48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8315410607437641E-3"/>
                  <c:y val="-5.49150100035894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DDC-4293-8202-7CB31A931F8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7978670677185563E-2"/>
                  <c:y val="-3.13852094117010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DDC-4293-8202-7CB31A931F8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'!$F$49:$F$60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'!$G$49:$G$60</c:f>
              <c:numCache>
                <c:formatCode>_(* #,##0_);_(* \(#,##0\);_(* "-"??_);_(@_)</c:formatCode>
                <c:ptCount val="12"/>
                <c:pt idx="0">
                  <c:v>60</c:v>
                </c:pt>
                <c:pt idx="1">
                  <c:v>46</c:v>
                </c:pt>
                <c:pt idx="2">
                  <c:v>56</c:v>
                </c:pt>
                <c:pt idx="3">
                  <c:v>63</c:v>
                </c:pt>
                <c:pt idx="4">
                  <c:v>61</c:v>
                </c:pt>
                <c:pt idx="5">
                  <c:v>68</c:v>
                </c:pt>
                <c:pt idx="6">
                  <c:v>74</c:v>
                </c:pt>
                <c:pt idx="7">
                  <c:v>65</c:v>
                </c:pt>
                <c:pt idx="8">
                  <c:v>71</c:v>
                </c:pt>
                <c:pt idx="9">
                  <c:v>63</c:v>
                </c:pt>
                <c:pt idx="10">
                  <c:v>63</c:v>
                </c:pt>
                <c:pt idx="11">
                  <c:v>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DDC-4293-8202-7CB31A931F8E}"/>
            </c:ext>
          </c:extLst>
        </c:ser>
        <c:ser>
          <c:idx val="1"/>
          <c:order val="1"/>
          <c:tx>
            <c:strRef>
              <c:f>'Data '!$H$48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8607674355979903E-2"/>
                  <c:y val="-9.404517436178707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DDC-4293-8202-7CB31A931F8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2369766776859376E-3"/>
                  <c:y val="-1.00325382059620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DDC-4293-8202-7CB31A931F8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1371298110654595E-2"/>
                  <c:y val="1.610146248762045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0DDC-4293-8202-7CB31A931F8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'!$F$49:$F$60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'!$H$49:$H$60</c:f>
              <c:numCache>
                <c:formatCode>_(* #,##0_);_(* \(#,##0\);_(* "-"??_);_(@_)</c:formatCode>
                <c:ptCount val="12"/>
                <c:pt idx="0">
                  <c:v>57</c:v>
                </c:pt>
                <c:pt idx="1">
                  <c:v>56</c:v>
                </c:pt>
                <c:pt idx="2">
                  <c:v>61</c:v>
                </c:pt>
                <c:pt idx="3">
                  <c:v>69</c:v>
                </c:pt>
                <c:pt idx="4">
                  <c:v>83</c:v>
                </c:pt>
                <c:pt idx="5">
                  <c:v>83</c:v>
                </c:pt>
                <c:pt idx="6">
                  <c:v>88</c:v>
                </c:pt>
                <c:pt idx="7">
                  <c:v>76</c:v>
                </c:pt>
                <c:pt idx="8">
                  <c:v>64.918000000000006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DDC-4293-8202-7CB31A931F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6534264"/>
        <c:axId val="375699976"/>
      </c:barChart>
      <c:lineChart>
        <c:grouping val="standard"/>
        <c:varyColors val="0"/>
        <c:ser>
          <c:idx val="2"/>
          <c:order val="2"/>
          <c:tx>
            <c:strRef>
              <c:f>'Data '!$I$48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9088081037547644E-2"/>
                  <c:y val="-3.64835923239867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0DDC-4293-8202-7CB31A931F8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1041451387847049E-2"/>
                  <c:y val="-6.78595697965397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0DDC-4293-8202-7CB31A931F8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1157936188757072E-3"/>
                  <c:y val="2.54745641084993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0DDC-4293-8202-7CB31A931F8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'!$F$49:$F$60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'!$I$49:$I$60</c:f>
              <c:numCache>
                <c:formatCode>0%</c:formatCode>
                <c:ptCount val="12"/>
                <c:pt idx="0">
                  <c:v>-0.05</c:v>
                </c:pt>
                <c:pt idx="1">
                  <c:v>0.21739130434782608</c:v>
                </c:pt>
                <c:pt idx="2">
                  <c:v>8.9285714285714288E-2</c:v>
                </c:pt>
                <c:pt idx="3">
                  <c:v>9.5238095238095233E-2</c:v>
                </c:pt>
                <c:pt idx="4">
                  <c:v>0.36065573770491804</c:v>
                </c:pt>
                <c:pt idx="5">
                  <c:v>0.22058823529411764</c:v>
                </c:pt>
                <c:pt idx="6">
                  <c:v>0.1891891891891892</c:v>
                </c:pt>
                <c:pt idx="7">
                  <c:v>0.16923076923076924</c:v>
                </c:pt>
                <c:pt idx="8">
                  <c:v>-8.5661971830985825E-2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0DDC-4293-8202-7CB31A931F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699192"/>
        <c:axId val="375698408"/>
      </c:lineChart>
      <c:catAx>
        <c:axId val="376534264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5699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5699976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6534264"/>
        <c:crosses val="autoZero"/>
        <c:crossBetween val="between"/>
      </c:valAx>
      <c:catAx>
        <c:axId val="375699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75698408"/>
        <c:crosses val="autoZero"/>
        <c:auto val="1"/>
        <c:lblAlgn val="ctr"/>
        <c:lblOffset val="100"/>
        <c:noMultiLvlLbl val="0"/>
      </c:catAx>
      <c:valAx>
        <c:axId val="375698408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569919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582857346135806"/>
          <c:y val="0.92775301398260224"/>
          <c:w val="0.36834339480973372"/>
          <c:h val="5.418734417951481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878453038674036E-2"/>
          <c:y val="6.2350265920699192E-2"/>
          <c:w val="0.88066298342541438"/>
          <c:h val="0.76978597540555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'!$B$31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3"/>
              <c:layout>
                <c:manualLayout>
                  <c:x val="-3.3114368991168375E-3"/>
                  <c:y val="-4.186282840891902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629-420E-B91F-70B64B8A4EC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'!$A$32:$A$43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'!$B$32:$B$43</c:f>
              <c:numCache>
                <c:formatCode>_(* #,##0_);_(* \(#,##0\);_(* "-"??_);_(@_)</c:formatCode>
                <c:ptCount val="12"/>
                <c:pt idx="0">
                  <c:v>368</c:v>
                </c:pt>
                <c:pt idx="1">
                  <c:v>82</c:v>
                </c:pt>
                <c:pt idx="2">
                  <c:v>253</c:v>
                </c:pt>
                <c:pt idx="3">
                  <c:v>431</c:v>
                </c:pt>
                <c:pt idx="4">
                  <c:v>498</c:v>
                </c:pt>
                <c:pt idx="5">
                  <c:v>565</c:v>
                </c:pt>
                <c:pt idx="6">
                  <c:v>481</c:v>
                </c:pt>
                <c:pt idx="7">
                  <c:v>325</c:v>
                </c:pt>
                <c:pt idx="8">
                  <c:v>243</c:v>
                </c:pt>
                <c:pt idx="9">
                  <c:v>371</c:v>
                </c:pt>
                <c:pt idx="10">
                  <c:v>382</c:v>
                </c:pt>
                <c:pt idx="11">
                  <c:v>391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629-420E-B91F-70B64B8A4EC6}"/>
            </c:ext>
          </c:extLst>
        </c:ser>
        <c:ser>
          <c:idx val="1"/>
          <c:order val="1"/>
          <c:tx>
            <c:strRef>
              <c:f>'Data '!$C$31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060280448369258E-4"/>
                  <c:y val="4.276427846828911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5629-420E-B91F-70B64B8A4EC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1945041400211734E-2"/>
                  <c:y val="-1.37333116614418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629-420E-B91F-70B64B8A4EC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2957903742695244E-2"/>
                  <c:y val="-1.23183478719971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629-420E-B91F-70B64B8A4EC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'!$A$32:$A$43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'!$C$32:$C$43</c:f>
              <c:numCache>
                <c:formatCode>_(* #,##0_);_(* \(#,##0\);_(* "-"??_);_(@_)</c:formatCode>
                <c:ptCount val="12"/>
                <c:pt idx="0">
                  <c:v>395</c:v>
                </c:pt>
                <c:pt idx="1">
                  <c:v>417</c:v>
                </c:pt>
                <c:pt idx="2">
                  <c:v>450</c:v>
                </c:pt>
                <c:pt idx="3">
                  <c:v>552</c:v>
                </c:pt>
                <c:pt idx="4">
                  <c:v>553</c:v>
                </c:pt>
                <c:pt idx="5">
                  <c:v>601</c:v>
                </c:pt>
                <c:pt idx="6">
                  <c:v>514</c:v>
                </c:pt>
                <c:pt idx="7">
                  <c:v>492</c:v>
                </c:pt>
                <c:pt idx="8">
                  <c:v>278.96199999999999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5629-420E-B91F-70B64B8A4E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5698016"/>
        <c:axId val="375697232"/>
      </c:barChart>
      <c:lineChart>
        <c:grouping val="standard"/>
        <c:varyColors val="0"/>
        <c:ser>
          <c:idx val="2"/>
          <c:order val="2"/>
          <c:tx>
            <c:strRef>
              <c:f>'Data '!$D$31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2697930714461807E-2"/>
                  <c:y val="-4.73572305221637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5629-420E-B91F-70B64B8A4EC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4779020025811662E-2"/>
                  <c:y val="-3.62088958168296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629-420E-B91F-70B64B8A4EC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2947028030336267E-3"/>
                  <c:y val="1.96390825520316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5629-420E-B91F-70B64B8A4EC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33057235248909E-2"/>
                  <c:y val="-5.4583501999133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629-420E-B91F-70B64B8A4EC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'!$A$32:$A$43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'!$D$32:$D$43</c:f>
              <c:numCache>
                <c:formatCode>0%</c:formatCode>
                <c:ptCount val="12"/>
                <c:pt idx="0">
                  <c:v>7.3369565217391311E-2</c:v>
                </c:pt>
                <c:pt idx="1">
                  <c:v>4.0853658536585362</c:v>
                </c:pt>
                <c:pt idx="2">
                  <c:v>0.77865612648221338</c:v>
                </c:pt>
                <c:pt idx="3">
                  <c:v>0.28074245939675174</c:v>
                </c:pt>
                <c:pt idx="4">
                  <c:v>0.11044176706827309</c:v>
                </c:pt>
                <c:pt idx="5">
                  <c:v>6.3716814159292035E-2</c:v>
                </c:pt>
                <c:pt idx="6">
                  <c:v>6.8607068607068611E-2</c:v>
                </c:pt>
                <c:pt idx="7">
                  <c:v>0.51384615384615384</c:v>
                </c:pt>
                <c:pt idx="8">
                  <c:v>0.14799176954732507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5629-420E-B91F-70B64B8A4E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700368"/>
        <c:axId val="375698800"/>
      </c:lineChart>
      <c:catAx>
        <c:axId val="375698016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5697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5697232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5698016"/>
        <c:crosses val="autoZero"/>
        <c:crossBetween val="between"/>
      </c:valAx>
      <c:catAx>
        <c:axId val="3757003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75698800"/>
        <c:crosses val="autoZero"/>
        <c:auto val="1"/>
        <c:lblAlgn val="ctr"/>
        <c:lblOffset val="100"/>
        <c:noMultiLvlLbl val="0"/>
      </c:catAx>
      <c:valAx>
        <c:axId val="375698800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570036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811487481590583"/>
          <c:y val="0.92985392174589754"/>
          <c:w val="0.36671575846833571"/>
          <c:h val="5.38336481010782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810221149607186E-2"/>
          <c:y val="6.2201029597120774E-2"/>
          <c:w val="0.88079565138190219"/>
          <c:h val="0.77033582808741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'!$G$31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0058409349687787E-3"/>
                  <c:y val="-9.410022862820224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BA9-400C-80D9-9112CC5F6AE0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1835914880739483E-2"/>
                  <c:y val="-2.385966274749340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BA9-400C-80D9-9112CC5F6AE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'!$F$32:$F$43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'!$G$32:$G$43</c:f>
              <c:numCache>
                <c:formatCode>_(* #,##0_);_(* \(#,##0\);_(* "-"??_);_(@_)</c:formatCode>
                <c:ptCount val="12"/>
                <c:pt idx="0">
                  <c:v>341</c:v>
                </c:pt>
                <c:pt idx="1">
                  <c:v>79</c:v>
                </c:pt>
                <c:pt idx="2">
                  <c:v>271</c:v>
                </c:pt>
                <c:pt idx="3">
                  <c:v>407</c:v>
                </c:pt>
                <c:pt idx="4">
                  <c:v>495</c:v>
                </c:pt>
                <c:pt idx="5">
                  <c:v>544</c:v>
                </c:pt>
                <c:pt idx="6">
                  <c:v>518</c:v>
                </c:pt>
                <c:pt idx="7">
                  <c:v>331</c:v>
                </c:pt>
                <c:pt idx="8">
                  <c:v>277.68799999999999</c:v>
                </c:pt>
                <c:pt idx="9">
                  <c:v>382</c:v>
                </c:pt>
                <c:pt idx="10">
                  <c:v>369</c:v>
                </c:pt>
                <c:pt idx="11">
                  <c:v>382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BA9-400C-80D9-9112CC5F6AE0}"/>
            </c:ext>
          </c:extLst>
        </c:ser>
        <c:ser>
          <c:idx val="1"/>
          <c:order val="1"/>
          <c:tx>
            <c:strRef>
              <c:f>'Data '!$H$31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5566583861584046E-2"/>
                  <c:y val="-2.20415507940440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BA9-400C-80D9-9112CC5F6AE0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5246332851157975E-3"/>
                  <c:y val="-4.69538845929950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BA9-400C-80D9-9112CC5F6AE0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6736563448137352E-2"/>
                  <c:y val="-1.14035952300680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BA9-400C-80D9-9112CC5F6AE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'!$F$32:$F$43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'!$H$32:$H$43</c:f>
              <c:numCache>
                <c:formatCode>_(* #,##0_);_(* \(#,##0\);_(* "-"??_);_(@_)</c:formatCode>
                <c:ptCount val="12"/>
                <c:pt idx="0">
                  <c:v>411</c:v>
                </c:pt>
                <c:pt idx="1">
                  <c:v>425</c:v>
                </c:pt>
                <c:pt idx="2">
                  <c:v>455</c:v>
                </c:pt>
                <c:pt idx="3">
                  <c:v>530</c:v>
                </c:pt>
                <c:pt idx="4">
                  <c:v>550</c:v>
                </c:pt>
                <c:pt idx="5">
                  <c:v>608</c:v>
                </c:pt>
                <c:pt idx="6">
                  <c:v>542</c:v>
                </c:pt>
                <c:pt idx="7">
                  <c:v>438</c:v>
                </c:pt>
                <c:pt idx="8">
                  <c:v>322.64400000000001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BA9-400C-80D9-9112CC5F6A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5696840"/>
        <c:axId val="376429688"/>
      </c:barChart>
      <c:lineChart>
        <c:grouping val="standard"/>
        <c:varyColors val="0"/>
        <c:ser>
          <c:idx val="2"/>
          <c:order val="2"/>
          <c:tx>
            <c:strRef>
              <c:f>'Data '!$I$31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1615269385479398E-2"/>
                  <c:y val="-4.9820615078143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BA9-400C-80D9-9112CC5F6AE0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1482798116311961E-2"/>
                  <c:y val="-3.63712041454872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1BA9-400C-80D9-9112CC5F6AE0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9.1961495602588275E-5"/>
                  <c:y val="-6.11044571104254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1BA9-400C-80D9-9112CC5F6AE0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0511504257024863E-2"/>
                  <c:y val="-5.4379481787845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1BA9-400C-80D9-9112CC5F6AE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'!$F$32:$F$43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'!$I$32:$I$43</c:f>
              <c:numCache>
                <c:formatCode>0%</c:formatCode>
                <c:ptCount val="12"/>
                <c:pt idx="0">
                  <c:v>0.20527859237536658</c:v>
                </c:pt>
                <c:pt idx="1">
                  <c:v>4.3797468354430382</c:v>
                </c:pt>
                <c:pt idx="2">
                  <c:v>0.6789667896678967</c:v>
                </c:pt>
                <c:pt idx="3">
                  <c:v>0.30221130221130221</c:v>
                </c:pt>
                <c:pt idx="4">
                  <c:v>0.1111111111111111</c:v>
                </c:pt>
                <c:pt idx="5">
                  <c:v>0.11764705882352941</c:v>
                </c:pt>
                <c:pt idx="6">
                  <c:v>4.633204633204633E-2</c:v>
                </c:pt>
                <c:pt idx="7">
                  <c:v>0.32326283987915405</c:v>
                </c:pt>
                <c:pt idx="8">
                  <c:v>0.16189392411627446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1BA9-400C-80D9-9112CC5F6A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428512"/>
        <c:axId val="376427336"/>
      </c:lineChart>
      <c:catAx>
        <c:axId val="375696840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6429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6429688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5696840"/>
        <c:crosses val="autoZero"/>
        <c:crossBetween val="between"/>
      </c:valAx>
      <c:catAx>
        <c:axId val="3764285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76427336"/>
        <c:crosses val="autoZero"/>
        <c:auto val="1"/>
        <c:lblAlgn val="ctr"/>
        <c:lblOffset val="100"/>
        <c:noMultiLvlLbl val="0"/>
      </c:catAx>
      <c:valAx>
        <c:axId val="376427336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642851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861668711352265"/>
          <c:y val="0.93008277769750014"/>
          <c:w val="0.36644598194580663"/>
          <c:h val="5.365862179024039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95151458970857E-2"/>
          <c:y val="6.2201029597120774E-2"/>
          <c:w val="0.86423934214540032"/>
          <c:h val="0.77033582808741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'!$L$31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0505455664595477E-3"/>
                  <c:y val="-4.976151312414746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6D6-4FE8-BE8D-26EE7C76A21A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2629416923683816E-3"/>
                  <c:y val="-6.5388461690824029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6D6-4FE8-BE8D-26EE7C76A21A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'!$K$32:$K$43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'!$L$32:$L$43</c:f>
              <c:numCache>
                <c:formatCode>_(* #,##0_);_(* \(#,##0\);_(* "-"??_);_(@_)</c:formatCode>
                <c:ptCount val="12"/>
                <c:pt idx="0">
                  <c:v>1099</c:v>
                </c:pt>
                <c:pt idx="1">
                  <c:v>547</c:v>
                </c:pt>
                <c:pt idx="2">
                  <c:v>1077</c:v>
                </c:pt>
                <c:pt idx="3">
                  <c:v>1223</c:v>
                </c:pt>
                <c:pt idx="4">
                  <c:v>1112</c:v>
                </c:pt>
                <c:pt idx="5">
                  <c:v>1239</c:v>
                </c:pt>
                <c:pt idx="6">
                  <c:v>1349</c:v>
                </c:pt>
                <c:pt idx="7">
                  <c:v>1012</c:v>
                </c:pt>
                <c:pt idx="8">
                  <c:v>1029</c:v>
                </c:pt>
                <c:pt idx="9">
                  <c:v>1069</c:v>
                </c:pt>
                <c:pt idx="10">
                  <c:v>998</c:v>
                </c:pt>
                <c:pt idx="11">
                  <c:v>1135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6D6-4FE8-BE8D-26EE7C76A21A}"/>
            </c:ext>
          </c:extLst>
        </c:ser>
        <c:ser>
          <c:idx val="1"/>
          <c:order val="1"/>
          <c:tx>
            <c:strRef>
              <c:f>'Data '!$M$31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5422896546853028E-2"/>
                  <c:y val="1.382770700513364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6D6-4FE8-BE8D-26EE7C76A21A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6830684166852261E-3"/>
                  <c:y val="-9.425873476104976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6D6-4FE8-BE8D-26EE7C76A21A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1116490966420769E-3"/>
                  <c:y val="1.320566931573264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6D6-4FE8-BE8D-26EE7C76A21A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2171016540909038E-2"/>
                  <c:y val="-5.008002079291585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6D6-4FE8-BE8D-26EE7C76A21A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'!$K$32:$K$43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'!$M$32:$M$43</c:f>
              <c:numCache>
                <c:formatCode>_(* #,##0_);_(* \(#,##0\);_(* "-"??_);_(@_)</c:formatCode>
                <c:ptCount val="12"/>
                <c:pt idx="0">
                  <c:v>1086</c:v>
                </c:pt>
                <c:pt idx="1">
                  <c:v>1155</c:v>
                </c:pt>
                <c:pt idx="2">
                  <c:v>1211</c:v>
                </c:pt>
                <c:pt idx="3">
                  <c:v>1183</c:v>
                </c:pt>
                <c:pt idx="4">
                  <c:v>1271</c:v>
                </c:pt>
                <c:pt idx="5">
                  <c:v>1375</c:v>
                </c:pt>
                <c:pt idx="6">
                  <c:v>1218</c:v>
                </c:pt>
                <c:pt idx="7">
                  <c:v>1087</c:v>
                </c:pt>
                <c:pt idx="8">
                  <c:v>909.69399999999996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76D6-4FE8-BE8D-26EE7C76A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6428120"/>
        <c:axId val="376426944"/>
      </c:barChart>
      <c:lineChart>
        <c:grouping val="standard"/>
        <c:varyColors val="0"/>
        <c:ser>
          <c:idx val="2"/>
          <c:order val="2"/>
          <c:tx>
            <c:strRef>
              <c:f>'Data '!$N$31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1614922946525676E-3"/>
                  <c:y val="-0.1049768772091118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6D6-4FE8-BE8D-26EE7C76A21A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561627299358191E-2"/>
                  <c:y val="-5.3564803857602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76D6-4FE8-BE8D-26EE7C76A21A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2514744456009305E-2"/>
                  <c:y val="-3.93532699139867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76D6-4FE8-BE8D-26EE7C76A21A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7015908438882121E-3"/>
                  <c:y val="-3.81549068727954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76D6-4FE8-BE8D-26EE7C76A21A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'!$K$32:$K$43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'!$N$32:$N$43</c:f>
              <c:numCache>
                <c:formatCode>0%</c:formatCode>
                <c:ptCount val="12"/>
                <c:pt idx="0">
                  <c:v>-1.1828935395814377E-2</c:v>
                </c:pt>
                <c:pt idx="1">
                  <c:v>1.1115173674588665</c:v>
                </c:pt>
                <c:pt idx="2">
                  <c:v>0.12441968430826369</c:v>
                </c:pt>
                <c:pt idx="3">
                  <c:v>-3.2706459525756335E-2</c:v>
                </c:pt>
                <c:pt idx="4">
                  <c:v>0.14298561151079137</c:v>
                </c:pt>
                <c:pt idx="5">
                  <c:v>0.10976594027441484</c:v>
                </c:pt>
                <c:pt idx="6">
                  <c:v>-9.7108969607116388E-2</c:v>
                </c:pt>
                <c:pt idx="7">
                  <c:v>7.4110671936758896E-2</c:v>
                </c:pt>
                <c:pt idx="8">
                  <c:v>-0.11594363459669586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76D6-4FE8-BE8D-26EE7C76A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426160"/>
        <c:axId val="376428904"/>
      </c:lineChart>
      <c:catAx>
        <c:axId val="376428120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6426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6426944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6428120"/>
        <c:crosses val="autoZero"/>
        <c:crossBetween val="between"/>
      </c:valAx>
      <c:catAx>
        <c:axId val="376426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76428904"/>
        <c:crosses val="autoZero"/>
        <c:auto val="1"/>
        <c:lblAlgn val="ctr"/>
        <c:lblOffset val="100"/>
        <c:noMultiLvlLbl val="0"/>
      </c:catAx>
      <c:valAx>
        <c:axId val="376428904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6426160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2229586363908291"/>
          <c:y val="0.93008277769750014"/>
          <c:w val="0.36644598194580663"/>
          <c:h val="5.365862179024039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869940539478401E-2"/>
          <c:y val="6.205250596658711E-2"/>
          <c:w val="0.86438855795449354"/>
          <c:h val="0.77088305489260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'!$Q$31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0132761331703893E-3"/>
                  <c:y val="-5.137341125915324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427-4A9D-A527-74BA956FB2B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068717076787085E-2"/>
                  <c:y val="-7.340812708673955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427-4A9D-A527-74BA956FB2B4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2054869488885584E-4"/>
                  <c:y val="-3.68138111614329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427-4A9D-A527-74BA956FB2B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'!$P$32:$P$43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'!$Q$32:$Q$43</c:f>
              <c:numCache>
                <c:formatCode>_(* #,##0_);_(* \(#,##0\);_(* "-"??_);_(@_)</c:formatCode>
                <c:ptCount val="12"/>
                <c:pt idx="0">
                  <c:v>1057</c:v>
                </c:pt>
                <c:pt idx="1">
                  <c:v>625</c:v>
                </c:pt>
                <c:pt idx="2">
                  <c:v>1099</c:v>
                </c:pt>
                <c:pt idx="3">
                  <c:v>1180</c:v>
                </c:pt>
                <c:pt idx="4">
                  <c:v>1163</c:v>
                </c:pt>
                <c:pt idx="5">
                  <c:v>1279</c:v>
                </c:pt>
                <c:pt idx="6">
                  <c:v>1353</c:v>
                </c:pt>
                <c:pt idx="7">
                  <c:v>1032</c:v>
                </c:pt>
                <c:pt idx="8">
                  <c:v>1069</c:v>
                </c:pt>
                <c:pt idx="9">
                  <c:v>1085</c:v>
                </c:pt>
                <c:pt idx="10">
                  <c:v>1007</c:v>
                </c:pt>
                <c:pt idx="11">
                  <c:v>1116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427-4A9D-A527-74BA956FB2B4}"/>
            </c:ext>
          </c:extLst>
        </c:ser>
        <c:ser>
          <c:idx val="1"/>
          <c:order val="1"/>
          <c:tx>
            <c:strRef>
              <c:f>'Data '!$R$31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8956800271677115E-3"/>
                  <c:y val="-2.717781995627636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427-4A9D-A527-74BA956FB2B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5280909118437795E-3"/>
                  <c:y val="-9.003564291933696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0427-4A9D-A527-74BA956FB2B4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41859818079369E-2"/>
                  <c:y val="-3.855799647955699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0427-4A9D-A527-74BA956FB2B4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540616419791813E-2"/>
                  <c:y val="-5.4698413294995718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0427-4A9D-A527-74BA956FB2B4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9331191157795694E-2"/>
                  <c:y val="1.999812075996468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0427-4A9D-A527-74BA956FB2B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'!$P$32:$P$43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'!$R$32:$R$43</c:f>
              <c:numCache>
                <c:formatCode>_(* #,##0_);_(* \(#,##0\);_(* "-"??_);_(@_)</c:formatCode>
                <c:ptCount val="12"/>
                <c:pt idx="0">
                  <c:v>1105</c:v>
                </c:pt>
                <c:pt idx="1">
                  <c:v>1141</c:v>
                </c:pt>
                <c:pt idx="2">
                  <c:v>1212</c:v>
                </c:pt>
                <c:pt idx="3">
                  <c:v>1176</c:v>
                </c:pt>
                <c:pt idx="4">
                  <c:v>1275</c:v>
                </c:pt>
                <c:pt idx="5">
                  <c:v>1375</c:v>
                </c:pt>
                <c:pt idx="6">
                  <c:v>1277</c:v>
                </c:pt>
                <c:pt idx="7">
                  <c:v>1049</c:v>
                </c:pt>
                <c:pt idx="8">
                  <c:v>968.37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0427-4A9D-A527-74BA956FB2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6429296"/>
        <c:axId val="373436592"/>
      </c:barChart>
      <c:lineChart>
        <c:grouping val="standard"/>
        <c:varyColors val="0"/>
        <c:ser>
          <c:idx val="2"/>
          <c:order val="2"/>
          <c:tx>
            <c:strRef>
              <c:f>'Data '!$S$31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6.3509615733092786E-8"/>
                  <c:y val="-2.48585871873414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0427-4A9D-A527-74BA956FB2B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6751348835952777E-3"/>
                  <c:y val="3.69438545718778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0427-4A9D-A527-74BA956FB2B4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4913628174072009E-2"/>
                  <c:y val="-7.12698024918722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0427-4A9D-A527-74BA956FB2B4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5358273703941173E-2"/>
                  <c:y val="-4.77043830141757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0427-4A9D-A527-74BA956FB2B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'!$P$32:$P$43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'!$S$32:$S$43</c:f>
              <c:numCache>
                <c:formatCode>0%</c:formatCode>
                <c:ptCount val="12"/>
                <c:pt idx="0">
                  <c:v>4.5411542100283822E-2</c:v>
                </c:pt>
                <c:pt idx="1">
                  <c:v>0.8256</c:v>
                </c:pt>
                <c:pt idx="2">
                  <c:v>0.10282074613284804</c:v>
                </c:pt>
                <c:pt idx="3">
                  <c:v>-3.3898305084745762E-3</c:v>
                </c:pt>
                <c:pt idx="4">
                  <c:v>9.630266552020636E-2</c:v>
                </c:pt>
                <c:pt idx="5">
                  <c:v>7.5058639562157942E-2</c:v>
                </c:pt>
                <c:pt idx="6">
                  <c:v>-5.6171470805617151E-2</c:v>
                </c:pt>
                <c:pt idx="7">
                  <c:v>1.6472868217054265E-2</c:v>
                </c:pt>
                <c:pt idx="8">
                  <c:v>-9.4134705332086052E-2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0427-4A9D-A527-74BA956FB2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3437376"/>
        <c:axId val="373437768"/>
      </c:lineChart>
      <c:catAx>
        <c:axId val="376429296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3436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3436592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6429296"/>
        <c:crosses val="autoZero"/>
        <c:crossBetween val="between"/>
      </c:valAx>
      <c:catAx>
        <c:axId val="3734373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73437768"/>
        <c:crosses val="autoZero"/>
        <c:auto val="1"/>
        <c:lblAlgn val="ctr"/>
        <c:lblOffset val="100"/>
        <c:noMultiLvlLbl val="0"/>
      </c:catAx>
      <c:valAx>
        <c:axId val="373437768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343737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2402662551373157"/>
          <c:y val="0.93019664852914885"/>
          <c:w val="0.3659076179270711"/>
          <c:h val="5.357153473204523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434430576005308E-2"/>
          <c:y val="6.205250596658711E-2"/>
          <c:w val="0.87982406791796652"/>
          <c:h val="0.77088305489260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'!$V$31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8773775922062307E-3"/>
                  <c:y val="-3.470580497246911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8AEF-4893-8CAF-C16BADD2B8A9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2109418989215361E-2"/>
                  <c:y val="-2.486109284072169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AEF-4893-8CAF-C16BADD2B8A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'!$U$32:$U$43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'!$V$32:$V$43</c:f>
              <c:numCache>
                <c:formatCode>_(* #,##0_);_(* \(#,##0\);_(* "-"??_);_(@_)</c:formatCode>
                <c:ptCount val="12"/>
                <c:pt idx="0">
                  <c:v>39</c:v>
                </c:pt>
                <c:pt idx="1">
                  <c:v>5</c:v>
                </c:pt>
                <c:pt idx="2">
                  <c:v>20</c:v>
                </c:pt>
                <c:pt idx="3">
                  <c:v>53</c:v>
                </c:pt>
                <c:pt idx="4">
                  <c:v>58</c:v>
                </c:pt>
                <c:pt idx="5">
                  <c:v>65</c:v>
                </c:pt>
                <c:pt idx="6">
                  <c:v>64</c:v>
                </c:pt>
                <c:pt idx="7">
                  <c:v>29</c:v>
                </c:pt>
                <c:pt idx="8">
                  <c:v>25</c:v>
                </c:pt>
                <c:pt idx="9">
                  <c:v>42</c:v>
                </c:pt>
                <c:pt idx="10">
                  <c:v>38</c:v>
                </c:pt>
                <c:pt idx="11">
                  <c:v>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AEF-4893-8CAF-C16BADD2B8A9}"/>
            </c:ext>
          </c:extLst>
        </c:ser>
        <c:ser>
          <c:idx val="1"/>
          <c:order val="1"/>
          <c:tx>
            <c:strRef>
              <c:f>'Data '!$W$31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8772731178211986E-3"/>
                  <c:y val="-2.882854440330998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AEF-4893-8CAF-C16BADD2B8A9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3916527300703907E-3"/>
                  <c:y val="-5.278434467767900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8AEF-4893-8CAF-C16BADD2B8A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2543299134701498E-2"/>
                  <c:y val="2.197708579983581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8AEF-4893-8CAF-C16BADD2B8A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'!$U$32:$U$43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'!$W$32:$W$43</c:f>
              <c:numCache>
                <c:formatCode>_(* #,##0_);_(* \(#,##0\);_(* "-"??_);_(@_)</c:formatCode>
                <c:ptCount val="12"/>
                <c:pt idx="0">
                  <c:v>36</c:v>
                </c:pt>
                <c:pt idx="1">
                  <c:v>37</c:v>
                </c:pt>
                <c:pt idx="2">
                  <c:v>34</c:v>
                </c:pt>
                <c:pt idx="3">
                  <c:v>35</c:v>
                </c:pt>
                <c:pt idx="4">
                  <c:v>37</c:v>
                </c:pt>
                <c:pt idx="5">
                  <c:v>43</c:v>
                </c:pt>
                <c:pt idx="6">
                  <c:v>41</c:v>
                </c:pt>
                <c:pt idx="7">
                  <c:v>40</c:v>
                </c:pt>
                <c:pt idx="8">
                  <c:v>21.934000000000001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AEF-4893-8CAF-C16BADD2B8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3439728"/>
        <c:axId val="373439336"/>
      </c:barChart>
      <c:lineChart>
        <c:grouping val="standard"/>
        <c:varyColors val="0"/>
        <c:ser>
          <c:idx val="2"/>
          <c:order val="2"/>
          <c:tx>
            <c:strRef>
              <c:f>'Data '!$X$31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436909524954546E-2"/>
                  <c:y val="-2.86621690188487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8AEF-4893-8CAF-C16BADD2B8A9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3994212342202956E-3"/>
                  <c:y val="3.77694673607326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8AEF-4893-8CAF-C16BADD2B8A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3719191353152649E-2"/>
                  <c:y val="-3.93693270441433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8AEF-4893-8CAF-C16BADD2B8A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'!$U$32:$U$43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'!$X$32:$X$43</c:f>
              <c:numCache>
                <c:formatCode>0%</c:formatCode>
                <c:ptCount val="12"/>
                <c:pt idx="0">
                  <c:v>-7.6923076923076927E-2</c:v>
                </c:pt>
                <c:pt idx="1">
                  <c:v>6.4</c:v>
                </c:pt>
                <c:pt idx="2">
                  <c:v>0.7</c:v>
                </c:pt>
                <c:pt idx="3">
                  <c:v>-0.33962264150943394</c:v>
                </c:pt>
                <c:pt idx="4">
                  <c:v>-0.36206896551724138</c:v>
                </c:pt>
                <c:pt idx="5">
                  <c:v>-0.33846153846153848</c:v>
                </c:pt>
                <c:pt idx="6">
                  <c:v>-0.359375</c:v>
                </c:pt>
                <c:pt idx="7">
                  <c:v>0.37931034482758619</c:v>
                </c:pt>
                <c:pt idx="8">
                  <c:v>-0.12263999999999996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8AEF-4893-8CAF-C16BADD2B8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3438160"/>
        <c:axId val="373440120"/>
      </c:lineChart>
      <c:catAx>
        <c:axId val="373439728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3439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3439336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3439728"/>
        <c:crosses val="autoZero"/>
        <c:crossBetween val="between"/>
      </c:valAx>
      <c:catAx>
        <c:axId val="373438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73440120"/>
        <c:crosses val="autoZero"/>
        <c:auto val="1"/>
        <c:lblAlgn val="ctr"/>
        <c:lblOffset val="100"/>
        <c:noMultiLvlLbl val="0"/>
      </c:catAx>
      <c:valAx>
        <c:axId val="373440120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3438160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741383723794125"/>
          <c:y val="0.93019664852914885"/>
          <c:w val="0.3659076179270711"/>
          <c:h val="5.357153473204523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370044052863439E-2"/>
          <c:y val="6.1904905842880033E-2"/>
          <c:w val="0.879955947136564"/>
          <c:h val="0.771430365118966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'!$AA$31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3626556592320518E-4"/>
                  <c:y val="-4.087512898368728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B2C-4E07-8B46-E144C343D0B5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7727288494224586E-2"/>
                  <c:y val="1.12696513528955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B2C-4E07-8B46-E144C343D0B5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660561702914883E-2"/>
                  <c:y val="6.031633619940858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B2C-4E07-8B46-E144C343D0B5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9128886422237203E-3"/>
                  <c:y val="-3.64684699703146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B2C-4E07-8B46-E144C343D0B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'!$Z$32:$Z$43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'!$AA$32:$AA$43</c:f>
              <c:numCache>
                <c:formatCode>_(* #,##0_);_(* \(#,##0\);_(* "-"??_);_(@_)</c:formatCode>
                <c:ptCount val="12"/>
                <c:pt idx="0">
                  <c:v>28</c:v>
                </c:pt>
                <c:pt idx="1">
                  <c:v>10</c:v>
                </c:pt>
                <c:pt idx="2">
                  <c:v>37</c:v>
                </c:pt>
                <c:pt idx="3">
                  <c:v>50</c:v>
                </c:pt>
                <c:pt idx="4">
                  <c:v>53</c:v>
                </c:pt>
                <c:pt idx="5">
                  <c:v>62</c:v>
                </c:pt>
                <c:pt idx="6">
                  <c:v>56</c:v>
                </c:pt>
                <c:pt idx="7">
                  <c:v>43</c:v>
                </c:pt>
                <c:pt idx="8">
                  <c:v>34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B2C-4E07-8B46-E144C343D0B5}"/>
            </c:ext>
          </c:extLst>
        </c:ser>
        <c:ser>
          <c:idx val="1"/>
          <c:order val="1"/>
          <c:tx>
            <c:strRef>
              <c:f>'Data '!$AB$31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0333807393018603E-2"/>
                  <c:y val="-6.3513823227365229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0B2C-4E07-8B46-E144C343D0B5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3350330107415052E-3"/>
                  <c:y val="-3.849228897099474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0B2C-4E07-8B46-E144C343D0B5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1800848682461136E-3"/>
                  <c:y val="-8.016187917195664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0B2C-4E07-8B46-E144C343D0B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'!$Z$32:$Z$43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'!$AB$32:$AB$43</c:f>
              <c:numCache>
                <c:formatCode>_(* #,##0_);_(* \(#,##0\);_(* "-"??_);_(@_)</c:formatCode>
                <c:ptCount val="12"/>
                <c:pt idx="0">
                  <c:v>39</c:v>
                </c:pt>
                <c:pt idx="1">
                  <c:v>35</c:v>
                </c:pt>
                <c:pt idx="2">
                  <c:v>38</c:v>
                </c:pt>
                <c:pt idx="3">
                  <c:v>33</c:v>
                </c:pt>
                <c:pt idx="4">
                  <c:v>37</c:v>
                </c:pt>
                <c:pt idx="5">
                  <c:v>48</c:v>
                </c:pt>
                <c:pt idx="6">
                  <c:v>45</c:v>
                </c:pt>
                <c:pt idx="7">
                  <c:v>35</c:v>
                </c:pt>
                <c:pt idx="8">
                  <c:v>26.195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0B2C-4E07-8B46-E144C343D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3438944"/>
        <c:axId val="374049576"/>
      </c:barChart>
      <c:lineChart>
        <c:grouping val="standard"/>
        <c:varyColors val="0"/>
        <c:ser>
          <c:idx val="2"/>
          <c:order val="2"/>
          <c:tx>
            <c:strRef>
              <c:f>'Data '!$AC$31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437210216564338E-2"/>
                  <c:y val="-3.63670111817241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0B2C-4E07-8B46-E144C343D0B5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3445257668782604E-2"/>
                  <c:y val="-6.90711969959783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0B2C-4E07-8B46-E144C343D0B5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378530877472921E-3"/>
                  <c:y val="3.92360082214023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0B2C-4E07-8B46-E144C343D0B5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9196179772682544E-3"/>
                  <c:y val="3.54713110149618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0B2C-4E07-8B46-E144C343D0B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'!$Z$32:$Z$43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'!$AC$32:$AC$43</c:f>
              <c:numCache>
                <c:formatCode>0%</c:formatCode>
                <c:ptCount val="12"/>
                <c:pt idx="0">
                  <c:v>0.39285714285714285</c:v>
                </c:pt>
                <c:pt idx="1">
                  <c:v>2.5</c:v>
                </c:pt>
                <c:pt idx="2">
                  <c:v>2.7027027027027029E-2</c:v>
                </c:pt>
                <c:pt idx="3">
                  <c:v>-0.34</c:v>
                </c:pt>
                <c:pt idx="4">
                  <c:v>-0.30188679245283018</c:v>
                </c:pt>
                <c:pt idx="5">
                  <c:v>-0.22580645161290322</c:v>
                </c:pt>
                <c:pt idx="6">
                  <c:v>-0.19642857142857142</c:v>
                </c:pt>
                <c:pt idx="7">
                  <c:v>-0.18604651162790697</c:v>
                </c:pt>
                <c:pt idx="8">
                  <c:v>-0.22955882352941176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0B2C-4E07-8B46-E144C343D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045656"/>
        <c:axId val="374049968"/>
      </c:lineChart>
      <c:catAx>
        <c:axId val="373438944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4049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4049576"/>
        <c:scaling>
          <c:orientation val="minMax"/>
          <c:max val="200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3438944"/>
        <c:crosses val="autoZero"/>
        <c:crossBetween val="between"/>
      </c:valAx>
      <c:catAx>
        <c:axId val="3740456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74049968"/>
        <c:crosses val="autoZero"/>
        <c:auto val="1"/>
        <c:lblAlgn val="ctr"/>
        <c:lblOffset val="100"/>
        <c:noMultiLvlLbl val="0"/>
      </c:catAx>
      <c:valAx>
        <c:axId val="374049968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404565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49781994096168"/>
          <c:y val="0.93031015033875086"/>
          <c:w val="0.36563902868528925"/>
          <c:h val="5.34847298975240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8899188876014E-2"/>
          <c:y val="6.205250596658711E-2"/>
          <c:w val="0.87022016222479748"/>
          <c:h val="0.77088305489260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'!$G$3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-8.0662281061912328E-3"/>
                  <c:y val="-4.645982498011126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C6C-4351-82F8-EE973CFC1107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1072617950566074E-3"/>
                  <c:y val="-5.377883850437580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C6C-4351-82F8-EE973CFC1107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7831680367880222E-3"/>
                  <c:y val="-4.088975751539437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C6C-4351-82F8-EE973CFC1107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2411565587905241E-2"/>
                  <c:y val="-3.29197752428918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C6C-4351-82F8-EE973CFC1107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8881214587458121E-2"/>
                  <c:y val="-4.504362968948691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C6C-4351-82F8-EE973CFC110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'!$G$4:$G$15</c:f>
              <c:numCache>
                <c:formatCode>_(* #,##0_);_(* \(#,##0\);_(* "-"??_);_(@_)</c:formatCode>
                <c:ptCount val="12"/>
                <c:pt idx="0">
                  <c:v>166</c:v>
                </c:pt>
                <c:pt idx="1">
                  <c:v>61</c:v>
                </c:pt>
                <c:pt idx="2">
                  <c:v>156</c:v>
                </c:pt>
                <c:pt idx="3">
                  <c:v>165</c:v>
                </c:pt>
                <c:pt idx="4">
                  <c:v>141</c:v>
                </c:pt>
                <c:pt idx="5">
                  <c:v>100</c:v>
                </c:pt>
                <c:pt idx="6">
                  <c:v>130</c:v>
                </c:pt>
                <c:pt idx="7">
                  <c:v>131</c:v>
                </c:pt>
                <c:pt idx="8">
                  <c:v>150</c:v>
                </c:pt>
                <c:pt idx="9">
                  <c:v>152</c:v>
                </c:pt>
                <c:pt idx="10">
                  <c:v>167</c:v>
                </c:pt>
                <c:pt idx="11">
                  <c:v>178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C6C-4351-82F8-EE973CFC1107}"/>
            </c:ext>
          </c:extLst>
        </c:ser>
        <c:ser>
          <c:idx val="1"/>
          <c:order val="1"/>
          <c:tx>
            <c:strRef>
              <c:f>'Data '!$H$3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4"/>
              <c:layout>
                <c:manualLayout>
                  <c:x val="1.4377606043740439E-2"/>
                  <c:y val="-9.212285218524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0C6C-4351-82F8-EE973CFC1107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4860448353573421E-2"/>
                  <c:y val="-1.254580647586117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0C6C-4351-82F8-EE973CFC110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'!$H$4:$H$15</c:f>
              <c:numCache>
                <c:formatCode>_(* #,##0_);_(* \(#,##0\);_(* "-"??_);_(@_)</c:formatCode>
                <c:ptCount val="12"/>
                <c:pt idx="0">
                  <c:v>142</c:v>
                </c:pt>
                <c:pt idx="1">
                  <c:v>162</c:v>
                </c:pt>
                <c:pt idx="2">
                  <c:v>169</c:v>
                </c:pt>
                <c:pt idx="3">
                  <c:v>179</c:v>
                </c:pt>
                <c:pt idx="4">
                  <c:v>164</c:v>
                </c:pt>
                <c:pt idx="5">
                  <c:v>174</c:v>
                </c:pt>
                <c:pt idx="6">
                  <c:v>174</c:v>
                </c:pt>
                <c:pt idx="7">
                  <c:v>167</c:v>
                </c:pt>
                <c:pt idx="8">
                  <c:v>148.495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0C6C-4351-82F8-EE973CFC11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293176"/>
        <c:axId val="375766536"/>
      </c:barChart>
      <c:lineChart>
        <c:grouping val="standard"/>
        <c:varyColors val="0"/>
        <c:ser>
          <c:idx val="2"/>
          <c:order val="2"/>
          <c:tx>
            <c:strRef>
              <c:f>'Data '!$I$3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'!$I$4:$I$15</c:f>
              <c:numCache>
                <c:formatCode>0%</c:formatCode>
                <c:ptCount val="12"/>
                <c:pt idx="0">
                  <c:v>-0.14457831325301204</c:v>
                </c:pt>
                <c:pt idx="1">
                  <c:v>1.6557377049180328</c:v>
                </c:pt>
                <c:pt idx="2">
                  <c:v>8.3333333333333329E-2</c:v>
                </c:pt>
                <c:pt idx="3">
                  <c:v>8.4848484848484854E-2</c:v>
                </c:pt>
                <c:pt idx="4">
                  <c:v>0.16312056737588654</c:v>
                </c:pt>
                <c:pt idx="5">
                  <c:v>0.74</c:v>
                </c:pt>
                <c:pt idx="6">
                  <c:v>0.33846153846153848</c:v>
                </c:pt>
                <c:pt idx="7">
                  <c:v>0.27480916030534353</c:v>
                </c:pt>
                <c:pt idx="8">
                  <c:v>-1.0033333333333304E-2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0C6C-4351-82F8-EE973CFC11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767712"/>
        <c:axId val="375766144"/>
      </c:lineChart>
      <c:catAx>
        <c:axId val="121293176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5766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5766536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293176"/>
        <c:crosses val="autoZero"/>
        <c:crossBetween val="between"/>
      </c:valAx>
      <c:catAx>
        <c:axId val="375767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75766144"/>
        <c:crosses val="autoZero"/>
        <c:auto val="1"/>
        <c:lblAlgn val="ctr"/>
        <c:lblOffset val="100"/>
        <c:noMultiLvlLbl val="0"/>
      </c:catAx>
      <c:valAx>
        <c:axId val="375766144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576771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0733590733590738"/>
          <c:y val="0.93019664852914885"/>
          <c:w val="0.38455598455598461"/>
          <c:h val="5.357153473204523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177826564215142E-2"/>
          <c:y val="6.1757791342450269E-2"/>
          <c:w val="0.88035126234906691"/>
          <c:h val="0.771972391780627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'!$L$3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6.1497417103871816E-3"/>
                  <c:y val="1.187655475434929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4926-487A-8ED1-1B0EF60A2A2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'!$L$4:$L$15</c:f>
              <c:numCache>
                <c:formatCode>_(* #,##0_);_(* \(#,##0\);_(* "-"??_);_(@_)</c:formatCode>
                <c:ptCount val="12"/>
                <c:pt idx="0">
                  <c:v>12</c:v>
                </c:pt>
                <c:pt idx="1">
                  <c:v>1</c:v>
                </c:pt>
                <c:pt idx="2">
                  <c:v>10</c:v>
                </c:pt>
                <c:pt idx="3">
                  <c:v>10</c:v>
                </c:pt>
                <c:pt idx="4">
                  <c:v>11</c:v>
                </c:pt>
                <c:pt idx="5">
                  <c:v>8</c:v>
                </c:pt>
                <c:pt idx="6">
                  <c:v>11</c:v>
                </c:pt>
                <c:pt idx="7">
                  <c:v>10</c:v>
                </c:pt>
                <c:pt idx="8">
                  <c:v>9</c:v>
                </c:pt>
                <c:pt idx="9">
                  <c:v>11</c:v>
                </c:pt>
                <c:pt idx="10">
                  <c:v>9</c:v>
                </c:pt>
                <c:pt idx="11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926-487A-8ED1-1B0EF60A2A2D}"/>
            </c:ext>
          </c:extLst>
        </c:ser>
        <c:ser>
          <c:idx val="1"/>
          <c:order val="1"/>
          <c:tx>
            <c:strRef>
              <c:f>'Data '!$M$3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4.0588779311477455E-3"/>
                  <c:y val="-5.027727439822485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4926-487A-8ED1-1B0EF60A2A2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1371110169955448E-2"/>
                  <c:y val="-1.385595314772114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926-487A-8ED1-1B0EF60A2A2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'!$M$4:$M$15</c:f>
              <c:numCache>
                <c:formatCode>_(* #,##0_);_(* \(#,##0\);_(* "-"??_);_(@_)</c:formatCode>
                <c:ptCount val="12"/>
                <c:pt idx="0">
                  <c:v>11</c:v>
                </c:pt>
                <c:pt idx="1">
                  <c:v>11</c:v>
                </c:pt>
                <c:pt idx="2">
                  <c:v>10</c:v>
                </c:pt>
                <c:pt idx="3">
                  <c:v>13</c:v>
                </c:pt>
                <c:pt idx="4">
                  <c:v>12</c:v>
                </c:pt>
                <c:pt idx="5">
                  <c:v>13</c:v>
                </c:pt>
                <c:pt idx="6">
                  <c:v>9</c:v>
                </c:pt>
                <c:pt idx="7">
                  <c:v>7</c:v>
                </c:pt>
                <c:pt idx="8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926-487A-8ED1-1B0EF60A2A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5765752"/>
        <c:axId val="375767320"/>
      </c:barChart>
      <c:lineChart>
        <c:grouping val="standard"/>
        <c:varyColors val="0"/>
        <c:ser>
          <c:idx val="2"/>
          <c:order val="2"/>
          <c:tx>
            <c:strRef>
              <c:f>'Data '!$N$3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438009052381083E-2"/>
                  <c:y val="-3.17785664154044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4926-487A-8ED1-1B0EF60A2A2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7105715792112178E-2"/>
                  <c:y val="-4.85528931921467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4926-487A-8ED1-1B0EF60A2A2D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6191027713193366E-2"/>
                  <c:y val="-5.45329828103670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4926-487A-8ED1-1B0EF60A2A2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'!$N$4:$N$15</c:f>
              <c:numCache>
                <c:formatCode>0%</c:formatCode>
                <c:ptCount val="12"/>
                <c:pt idx="0">
                  <c:v>-8.3333333333333329E-2</c:v>
                </c:pt>
                <c:pt idx="1">
                  <c:v>10</c:v>
                </c:pt>
                <c:pt idx="2">
                  <c:v>0</c:v>
                </c:pt>
                <c:pt idx="3">
                  <c:v>0.3</c:v>
                </c:pt>
                <c:pt idx="4">
                  <c:v>9.0909090909090912E-2</c:v>
                </c:pt>
                <c:pt idx="5">
                  <c:v>0.625</c:v>
                </c:pt>
                <c:pt idx="6">
                  <c:v>-0.18181818181818182</c:v>
                </c:pt>
                <c:pt idx="7">
                  <c:v>-0.3</c:v>
                </c:pt>
                <c:pt idx="8">
                  <c:v>0.1111111111111111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4926-487A-8ED1-1B0EF60A2A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768104"/>
        <c:axId val="375768496"/>
      </c:lineChart>
      <c:catAx>
        <c:axId val="375765752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5767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5767320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5765752"/>
        <c:crosses val="autoZero"/>
        <c:crossBetween val="between"/>
      </c:valAx>
      <c:catAx>
        <c:axId val="3757681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75768496"/>
        <c:crosses val="autoZero"/>
        <c:auto val="1"/>
        <c:lblAlgn val="ctr"/>
        <c:lblOffset val="100"/>
        <c:noMultiLvlLbl val="0"/>
      </c:catAx>
      <c:valAx>
        <c:axId val="375768496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576810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748354059985379"/>
          <c:y val="0.92892054006127589"/>
          <c:w val="0.36430138990490141"/>
          <c:h val="5.331196142960367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200923787528873E-2"/>
          <c:y val="6.1904905842880033E-2"/>
          <c:w val="0.87413394919168597"/>
          <c:h val="0.771430365118966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'!$Q$3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-9.6378195219823694E-3"/>
                  <c:y val="-5.77809586968514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85DC-4F46-8424-2296A513516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'!$Q$4:$Q$15</c:f>
              <c:numCache>
                <c:formatCode>_(* #,##0_);_(* \(#,##0\);_(* "-"??_);_(@_)</c:formatCode>
                <c:ptCount val="12"/>
                <c:pt idx="0">
                  <c:v>12</c:v>
                </c:pt>
                <c:pt idx="1">
                  <c:v>1</c:v>
                </c:pt>
                <c:pt idx="2">
                  <c:v>10</c:v>
                </c:pt>
                <c:pt idx="3">
                  <c:v>10</c:v>
                </c:pt>
                <c:pt idx="4">
                  <c:v>11</c:v>
                </c:pt>
                <c:pt idx="5">
                  <c:v>8</c:v>
                </c:pt>
                <c:pt idx="6">
                  <c:v>11</c:v>
                </c:pt>
                <c:pt idx="7">
                  <c:v>10</c:v>
                </c:pt>
                <c:pt idx="8">
                  <c:v>10</c:v>
                </c:pt>
                <c:pt idx="9">
                  <c:v>11</c:v>
                </c:pt>
                <c:pt idx="10">
                  <c:v>9</c:v>
                </c:pt>
                <c:pt idx="11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5DC-4F46-8424-2296A513516C}"/>
            </c:ext>
          </c:extLst>
        </c:ser>
        <c:ser>
          <c:idx val="1"/>
          <c:order val="1"/>
          <c:tx>
            <c:strRef>
              <c:f>'Data '!$R$3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7382420153600887E-2"/>
                  <c:y val="3.936355927044610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5DC-4F46-8424-2296A513516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5738817867166136E-2"/>
                  <c:y val="5.174588442756200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5DC-4F46-8424-2296A513516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'!$R$4:$R$15</c:f>
              <c:numCache>
                <c:formatCode>_(* #,##0_);_(* \(#,##0\);_(* "-"??_);_(@_)</c:formatCode>
                <c:ptCount val="12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13</c:v>
                </c:pt>
                <c:pt idx="4">
                  <c:v>12</c:v>
                </c:pt>
                <c:pt idx="5">
                  <c:v>13</c:v>
                </c:pt>
                <c:pt idx="6">
                  <c:v>9</c:v>
                </c:pt>
                <c:pt idx="7">
                  <c:v>7</c:v>
                </c:pt>
                <c:pt idx="8">
                  <c:v>10.6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5DC-4F46-8424-2296A51351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5765360"/>
        <c:axId val="377369584"/>
      </c:barChart>
      <c:lineChart>
        <c:grouping val="standard"/>
        <c:varyColors val="0"/>
        <c:ser>
          <c:idx val="2"/>
          <c:order val="2"/>
          <c:tx>
            <c:strRef>
              <c:f>'Data '!$S$3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'!$S$4:$S$15</c:f>
              <c:numCache>
                <c:formatCode>0%</c:formatCode>
                <c:ptCount val="12"/>
                <c:pt idx="0">
                  <c:v>0</c:v>
                </c:pt>
                <c:pt idx="1">
                  <c:v>10</c:v>
                </c:pt>
                <c:pt idx="2">
                  <c:v>0</c:v>
                </c:pt>
                <c:pt idx="3">
                  <c:v>0.3</c:v>
                </c:pt>
                <c:pt idx="4">
                  <c:v>9.0909090909090912E-2</c:v>
                </c:pt>
                <c:pt idx="5">
                  <c:v>0.625</c:v>
                </c:pt>
                <c:pt idx="6">
                  <c:v>-0.18181818181818182</c:v>
                </c:pt>
                <c:pt idx="7">
                  <c:v>-0.3</c:v>
                </c:pt>
                <c:pt idx="8">
                  <c:v>5.9999999999999963E-2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85DC-4F46-8424-2296A51351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7370760"/>
        <c:axId val="377369192"/>
      </c:lineChart>
      <c:catAx>
        <c:axId val="375765360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7369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7369584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5765360"/>
        <c:crosses val="autoZero"/>
        <c:crossBetween val="between"/>
      </c:valAx>
      <c:catAx>
        <c:axId val="3773707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77369192"/>
        <c:crosses val="autoZero"/>
        <c:auto val="1"/>
        <c:lblAlgn val="ctr"/>
        <c:lblOffset val="100"/>
        <c:noMultiLvlLbl val="0"/>
      </c:catAx>
      <c:valAx>
        <c:axId val="377369192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7370760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0638976074576663"/>
          <c:y val="0.93042328491724258"/>
          <c:w val="0.3833721126919391"/>
          <c:h val="5.3398205916989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114097315842293E-2"/>
          <c:y val="6.1611374407582929E-2"/>
          <c:w val="0.8771939217485627"/>
          <c:h val="0.772511848341232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'!$V$3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-1.0829199789293449E-2"/>
                  <c:y val="8.214849921011069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CEF-4F8C-AF96-0DAEA5DE494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0777695559761672E-3"/>
                  <c:y val="6.87216230672588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CEF-4F8C-AF96-0DAEA5DE494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'!$V$4:$V$15</c:f>
              <c:numCache>
                <c:formatCode>_(* #,##0_);_(* \(#,##0\);_(* "-"??_);_(@_)</c:formatCode>
                <c:ptCount val="12"/>
                <c:pt idx="0">
                  <c:v>127</c:v>
                </c:pt>
                <c:pt idx="1">
                  <c:v>63</c:v>
                </c:pt>
                <c:pt idx="2">
                  <c:v>118</c:v>
                </c:pt>
                <c:pt idx="3">
                  <c:v>148</c:v>
                </c:pt>
                <c:pt idx="4">
                  <c:v>130</c:v>
                </c:pt>
                <c:pt idx="5">
                  <c:v>103</c:v>
                </c:pt>
                <c:pt idx="6">
                  <c:v>121</c:v>
                </c:pt>
                <c:pt idx="7">
                  <c:v>122</c:v>
                </c:pt>
                <c:pt idx="8">
                  <c:v>110</c:v>
                </c:pt>
                <c:pt idx="9">
                  <c:v>141</c:v>
                </c:pt>
                <c:pt idx="10">
                  <c:v>133</c:v>
                </c:pt>
                <c:pt idx="11">
                  <c:v>150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CEF-4F8C-AF96-0DAEA5DE4946}"/>
            </c:ext>
          </c:extLst>
        </c:ser>
        <c:ser>
          <c:idx val="1"/>
          <c:order val="1"/>
          <c:tx>
            <c:strRef>
              <c:f>'Data '!$W$3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9369151188890505E-3"/>
                  <c:y val="-5.086887835703002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CEF-4F8C-AF96-0DAEA5DE494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0551378353770914E-2"/>
                  <c:y val="-1.32701421800947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CEF-4F8C-AF96-0DAEA5DE494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7.0280134916950185E-3"/>
                  <c:y val="-2.3064770932069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CEF-4F8C-AF96-0DAEA5DE494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'!$W$4:$W$15</c:f>
              <c:numCache>
                <c:formatCode>_(* #,##0_);_(* \(#,##0\);_(* "-"??_);_(@_)</c:formatCode>
                <c:ptCount val="12"/>
                <c:pt idx="0">
                  <c:v>147</c:v>
                </c:pt>
                <c:pt idx="1">
                  <c:v>127</c:v>
                </c:pt>
                <c:pt idx="2">
                  <c:v>154</c:v>
                </c:pt>
                <c:pt idx="3">
                  <c:v>165</c:v>
                </c:pt>
                <c:pt idx="4">
                  <c:v>161</c:v>
                </c:pt>
                <c:pt idx="5">
                  <c:v>172</c:v>
                </c:pt>
                <c:pt idx="6">
                  <c:v>152</c:v>
                </c:pt>
                <c:pt idx="7">
                  <c:v>164</c:v>
                </c:pt>
                <c:pt idx="8">
                  <c:v>131.435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CEF-4F8C-AF96-0DAEA5DE49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7367232"/>
        <c:axId val="377369976"/>
      </c:barChart>
      <c:lineChart>
        <c:grouping val="standard"/>
        <c:varyColors val="0"/>
        <c:ser>
          <c:idx val="2"/>
          <c:order val="2"/>
          <c:tx>
            <c:strRef>
              <c:f>'Data '!$X$3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1.1330416347550764E-2"/>
                  <c:y val="4.16884974686221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CEF-4F8C-AF96-0DAEA5DE494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2895560339001872E-3"/>
                  <c:y val="-3.72377504944583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5CEF-4F8C-AF96-0DAEA5DE494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'!$X$4:$X$15</c:f>
              <c:numCache>
                <c:formatCode>0%</c:formatCode>
                <c:ptCount val="12"/>
                <c:pt idx="0">
                  <c:v>0.15748031496062992</c:v>
                </c:pt>
                <c:pt idx="1">
                  <c:v>1.0158730158730158</c:v>
                </c:pt>
                <c:pt idx="2">
                  <c:v>0.30508474576271188</c:v>
                </c:pt>
                <c:pt idx="3">
                  <c:v>0.11486486486486487</c:v>
                </c:pt>
                <c:pt idx="4">
                  <c:v>0.23846153846153847</c:v>
                </c:pt>
                <c:pt idx="5">
                  <c:v>0.66990291262135926</c:v>
                </c:pt>
                <c:pt idx="6">
                  <c:v>0.256198347107438</c:v>
                </c:pt>
                <c:pt idx="7">
                  <c:v>0.34426229508196721</c:v>
                </c:pt>
                <c:pt idx="8">
                  <c:v>0.19486363636363638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5CEF-4F8C-AF96-0DAEA5DE49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7367624"/>
        <c:axId val="377368016"/>
      </c:lineChart>
      <c:catAx>
        <c:axId val="377367232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7369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7369976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7367232"/>
        <c:crosses val="autoZero"/>
        <c:crossBetween val="between"/>
      </c:valAx>
      <c:catAx>
        <c:axId val="377367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77368016"/>
        <c:crosses val="autoZero"/>
        <c:auto val="1"/>
        <c:lblAlgn val="ctr"/>
        <c:lblOffset val="100"/>
        <c:noMultiLvlLbl val="0"/>
      </c:catAx>
      <c:valAx>
        <c:axId val="377368016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736762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432754147669772"/>
          <c:y val="0.9291469031280285"/>
          <c:w val="0.36403515268696612"/>
          <c:h val="5.314011750992189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050414397512497E-2"/>
          <c:y val="6.1465862943869458E-2"/>
          <c:w val="0.87732796098882082"/>
          <c:h val="0.773051430101742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'!$AA$3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-7.746494309681386E-3"/>
                  <c:y val="1.142451846644132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666-41B2-B9CC-BE14B130655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3773704100544299E-3"/>
                  <c:y val="6.934335599102004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666-41B2-B9CC-BE14B130655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'!$AA$4:$AA$15</c:f>
              <c:numCache>
                <c:formatCode>_(* #,##0_);_(* \(#,##0\);_(* "-"??_);_(@_)</c:formatCode>
                <c:ptCount val="12"/>
                <c:pt idx="0">
                  <c:v>126</c:v>
                </c:pt>
                <c:pt idx="1">
                  <c:v>57</c:v>
                </c:pt>
                <c:pt idx="2">
                  <c:v>118</c:v>
                </c:pt>
                <c:pt idx="3">
                  <c:v>141</c:v>
                </c:pt>
                <c:pt idx="4">
                  <c:v>132</c:v>
                </c:pt>
                <c:pt idx="5">
                  <c:v>106</c:v>
                </c:pt>
                <c:pt idx="6">
                  <c:v>125</c:v>
                </c:pt>
                <c:pt idx="7">
                  <c:v>119</c:v>
                </c:pt>
                <c:pt idx="8">
                  <c:v>115</c:v>
                </c:pt>
                <c:pt idx="9">
                  <c:v>132</c:v>
                </c:pt>
                <c:pt idx="10">
                  <c:v>138</c:v>
                </c:pt>
                <c:pt idx="11">
                  <c:v>153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666-41B2-B9CC-BE14B1306559}"/>
            </c:ext>
          </c:extLst>
        </c:ser>
        <c:ser>
          <c:idx val="1"/>
          <c:order val="1"/>
          <c:tx>
            <c:strRef>
              <c:f>'Data '!$AB$3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9911799028740091E-3"/>
                  <c:y val="-5.2285676227897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666-41B2-B9CC-BE14B1306559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1474227434806516E-2"/>
                  <c:y val="-1.363313190941204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C666-41B2-B9CC-BE14B130655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6878218310378879E-3"/>
                  <c:y val="-2.356210363135088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666-41B2-B9CC-BE14B130655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'!$AB$4:$AB$15</c:f>
              <c:numCache>
                <c:formatCode>_(* #,##0_);_(* \(#,##0\);_(* "-"??_);_(@_)</c:formatCode>
                <c:ptCount val="12"/>
                <c:pt idx="0">
                  <c:v>144</c:v>
                </c:pt>
                <c:pt idx="1">
                  <c:v>135</c:v>
                </c:pt>
                <c:pt idx="2">
                  <c:v>153</c:v>
                </c:pt>
                <c:pt idx="3">
                  <c:v>155</c:v>
                </c:pt>
                <c:pt idx="4">
                  <c:v>160</c:v>
                </c:pt>
                <c:pt idx="5">
                  <c:v>172</c:v>
                </c:pt>
                <c:pt idx="6">
                  <c:v>156</c:v>
                </c:pt>
                <c:pt idx="7">
                  <c:v>139</c:v>
                </c:pt>
                <c:pt idx="8">
                  <c:v>144.048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666-41B2-B9CC-BE14B13065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7344328"/>
        <c:axId val="377340800"/>
      </c:barChart>
      <c:lineChart>
        <c:grouping val="standard"/>
        <c:varyColors val="0"/>
        <c:ser>
          <c:idx val="2"/>
          <c:order val="2"/>
          <c:tx>
            <c:strRef>
              <c:f>'Data '!$AC$3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8710813298738476E-3"/>
                  <c:y val="2.57794785238415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666-41B2-B9CC-BE14B1306559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0217192508647345E-2"/>
                  <c:y val="-4.28911740331864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C666-41B2-B9CC-BE14B130655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5139968813755482E-3"/>
                  <c:y val="-3.56863844200278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C666-41B2-B9CC-BE14B130655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'!$AC$4:$AC$15</c:f>
              <c:numCache>
                <c:formatCode>0%</c:formatCode>
                <c:ptCount val="12"/>
                <c:pt idx="0">
                  <c:v>0.14285714285714285</c:v>
                </c:pt>
                <c:pt idx="1">
                  <c:v>1.368421052631579</c:v>
                </c:pt>
                <c:pt idx="2">
                  <c:v>0.29661016949152541</c:v>
                </c:pt>
                <c:pt idx="3">
                  <c:v>9.9290780141843976E-2</c:v>
                </c:pt>
                <c:pt idx="4">
                  <c:v>0.21212121212121213</c:v>
                </c:pt>
                <c:pt idx="5">
                  <c:v>0.62264150943396224</c:v>
                </c:pt>
                <c:pt idx="6">
                  <c:v>0.248</c:v>
                </c:pt>
                <c:pt idx="7">
                  <c:v>0.16806722689075632</c:v>
                </c:pt>
                <c:pt idx="8">
                  <c:v>0.25259130434782612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C666-41B2-B9CC-BE14B13065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7342368"/>
        <c:axId val="377341976"/>
      </c:lineChart>
      <c:catAx>
        <c:axId val="377344328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7340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7340800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7344328"/>
        <c:crosses val="autoZero"/>
        <c:crossBetween val="between"/>
      </c:valAx>
      <c:catAx>
        <c:axId val="3773423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77341976"/>
        <c:crosses val="autoZero"/>
        <c:auto val="1"/>
        <c:lblAlgn val="ctr"/>
        <c:lblOffset val="100"/>
        <c:noMultiLvlLbl val="0"/>
      </c:catAx>
      <c:valAx>
        <c:axId val="377341976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734236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459870833501891"/>
          <c:y val="0.93086889795149375"/>
          <c:w val="0.36350384396946506"/>
          <c:h val="5.305470402832349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114097315842293E-2"/>
          <c:y val="6.1611374407582929E-2"/>
          <c:w val="0.88048339895511962"/>
          <c:h val="0.772511848341232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'!$B$22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'!$A$23:$A$26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'!$B$23:$B$26</c:f>
              <c:numCache>
                <c:formatCode>_(* #,##0_);_(* \(#,##0\);_(* "-"??_);_(@_)</c:formatCode>
                <c:ptCount val="4"/>
                <c:pt idx="0">
                  <c:v>42</c:v>
                </c:pt>
                <c:pt idx="1">
                  <c:v>99</c:v>
                </c:pt>
                <c:pt idx="2">
                  <c:v>173</c:v>
                </c:pt>
                <c:pt idx="3">
                  <c:v>272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D2-49B5-B6D0-3B19F2B5CE8F}"/>
            </c:ext>
          </c:extLst>
        </c:ser>
        <c:ser>
          <c:idx val="1"/>
          <c:order val="1"/>
          <c:tx>
            <c:strRef>
              <c:f>'Data '!$C$22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4.1131595357053602E-3"/>
                  <c:y val="-5.107959846251446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ED2-49B5-B6D0-3B19F2B5CE8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1197532311420079E-2"/>
                  <c:y val="-1.316490651938651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ED2-49B5-B6D0-3B19F2B5CE8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9.2274824842316101E-3"/>
                  <c:y val="-3.206951026856242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ED2-49B5-B6D0-3B19F2B5CE8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'!$A$23:$A$26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'!$C$23:$C$26</c:f>
              <c:numCache>
                <c:formatCode>_(* #,##0_);_(* \(#,##0\);_(* "-"??_);_(@_)</c:formatCode>
                <c:ptCount val="4"/>
                <c:pt idx="0">
                  <c:v>89</c:v>
                </c:pt>
                <c:pt idx="1">
                  <c:v>171</c:v>
                </c:pt>
                <c:pt idx="2">
                  <c:v>262.58800000000002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ED2-49B5-B6D0-3B19F2B5CE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7341192"/>
        <c:axId val="377343936"/>
      </c:barChart>
      <c:lineChart>
        <c:grouping val="standard"/>
        <c:varyColors val="0"/>
        <c:ser>
          <c:idx val="2"/>
          <c:order val="2"/>
          <c:tx>
            <c:strRef>
              <c:f>'Data '!$D$22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1.1193311775095999E-2"/>
                  <c:y val="4.14128447214240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9ED2-49B5-B6D0-3B19F2B5CE8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279552566618834E-2"/>
                  <c:y val="1.98601833538579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9ED2-49B5-B6D0-3B19F2B5CE8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'!$A$23:$A$26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'!$D$23:$D$26</c:f>
              <c:numCache>
                <c:formatCode>0%</c:formatCode>
                <c:ptCount val="4"/>
                <c:pt idx="0">
                  <c:v>1.1190476190476191</c:v>
                </c:pt>
                <c:pt idx="1">
                  <c:v>0.72727272727272729</c:v>
                </c:pt>
                <c:pt idx="2">
                  <c:v>0.51784971098265908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9ED2-49B5-B6D0-3B19F2B5CE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7341584"/>
        <c:axId val="377343152"/>
      </c:lineChart>
      <c:catAx>
        <c:axId val="377341192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7343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7343936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7341192"/>
        <c:crosses val="autoZero"/>
        <c:crossBetween val="between"/>
      </c:valAx>
      <c:catAx>
        <c:axId val="3773415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77343152"/>
        <c:crosses val="autoZero"/>
        <c:auto val="1"/>
        <c:lblAlgn val="ctr"/>
        <c:lblOffset val="100"/>
        <c:noMultiLvlLbl val="0"/>
      </c:catAx>
      <c:valAx>
        <c:axId val="377343152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734158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652052432420963"/>
          <c:y val="0.9291469031280285"/>
          <c:w val="0.36403515268696612"/>
          <c:h val="5.314011750992189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050414397512497E-2"/>
          <c:y val="6.1465862943869458E-2"/>
          <c:w val="0.88061383350188771"/>
          <c:h val="0.773051430101742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'!$G$22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-7.2494275128209839E-4"/>
                  <c:y val="-4.985067225531965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817-4F84-A8E4-D3E00BCDC96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'!$F$23:$F$26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'!$G$23:$G$26</c:f>
              <c:numCache>
                <c:formatCode>_(* #,##0_);_(* \(#,##0\);_(* "-"??_);_(@_)</c:formatCode>
                <c:ptCount val="4"/>
                <c:pt idx="0">
                  <c:v>29</c:v>
                </c:pt>
                <c:pt idx="1">
                  <c:v>96</c:v>
                </c:pt>
                <c:pt idx="2">
                  <c:v>169</c:v>
                </c:pt>
                <c:pt idx="3">
                  <c:v>273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817-4F84-A8E4-D3E00BCDC960}"/>
            </c:ext>
          </c:extLst>
        </c:ser>
        <c:ser>
          <c:idx val="1"/>
          <c:order val="1"/>
          <c:tx>
            <c:strRef>
              <c:f>'Data '!$H$22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5.2625221185875481E-3"/>
                  <c:y val="-5.041808348224986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817-4F84-A8E4-D3E00BCDC96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8808921893114021E-3"/>
                  <c:y val="1.014944924924110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817-4F84-A8E4-D3E00BCDC96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'!$F$23:$F$26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'!$H$23:$H$26</c:f>
              <c:numCache>
                <c:formatCode>_(* #,##0_);_(* \(#,##0\);_(* "-"??_);_(@_)</c:formatCode>
                <c:ptCount val="4"/>
                <c:pt idx="0">
                  <c:v>76</c:v>
                </c:pt>
                <c:pt idx="1">
                  <c:v>167</c:v>
                </c:pt>
                <c:pt idx="2">
                  <c:v>258.04599999999999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817-4F84-A8E4-D3E00BCDC9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7368408"/>
        <c:axId val="376108552"/>
      </c:barChart>
      <c:lineChart>
        <c:grouping val="standard"/>
        <c:varyColors val="0"/>
        <c:ser>
          <c:idx val="2"/>
          <c:order val="2"/>
          <c:tx>
            <c:strRef>
              <c:f>'Data '!$I$22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5.6590001307954968E-3"/>
                  <c:y val="-5.122190837275218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817-4F84-A8E4-D3E00BCDC96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253371823404771E-2"/>
                  <c:y val="-2.41662751444782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C817-4F84-A8E4-D3E00BCDC96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'!$F$23:$F$26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'!$I$23:$I$26</c:f>
              <c:numCache>
                <c:formatCode>0%</c:formatCode>
                <c:ptCount val="4"/>
                <c:pt idx="0">
                  <c:v>1.6206896551724137</c:v>
                </c:pt>
                <c:pt idx="1">
                  <c:v>0.73958333333333337</c:v>
                </c:pt>
                <c:pt idx="2">
                  <c:v>0.5268994082840236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C817-4F84-A8E4-D3E00BCDC9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108160"/>
        <c:axId val="376108944"/>
      </c:lineChart>
      <c:catAx>
        <c:axId val="377368408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6108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6108552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7368408"/>
        <c:crosses val="autoZero"/>
        <c:crossBetween val="between"/>
      </c:valAx>
      <c:catAx>
        <c:axId val="376108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76108944"/>
        <c:crosses val="autoZero"/>
        <c:auto val="1"/>
        <c:lblAlgn val="ctr"/>
        <c:lblOffset val="100"/>
        <c:noMultiLvlLbl val="0"/>
      </c:catAx>
      <c:valAx>
        <c:axId val="376108944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6108160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824834532266422"/>
          <c:y val="0.93086889795149375"/>
          <c:w val="0.36350384396946506"/>
          <c:h val="5.305470402832349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050414397512497E-2"/>
          <c:y val="6.1465862943869458E-2"/>
          <c:w val="0.88061383350188771"/>
          <c:h val="0.773051430101742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'!$L$22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'!$K$23:$K$26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'!$L$23:$L$26</c:f>
              <c:numCache>
                <c:formatCode>_(* #,##0_);_(* \(#,##0\);_(* "-"??_);_(@_)</c:formatCode>
                <c:ptCount val="4"/>
                <c:pt idx="0">
                  <c:v>95</c:v>
                </c:pt>
                <c:pt idx="1">
                  <c:v>223</c:v>
                </c:pt>
                <c:pt idx="2">
                  <c:v>359</c:v>
                </c:pt>
                <c:pt idx="3">
                  <c:v>533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E2-41AB-AF75-458177BDA2E3}"/>
            </c:ext>
          </c:extLst>
        </c:ser>
        <c:ser>
          <c:idx val="1"/>
          <c:order val="1"/>
          <c:tx>
            <c:strRef>
              <c:f>'Data '!$M$22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3072657200524484E-2"/>
                  <c:y val="-2.308941851616120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1E2-41AB-AF75-458177BDA2E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9929091403889463E-2"/>
                  <c:y val="-1.25691432644028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41E2-41AB-AF75-458177BDA2E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'!$K$23:$K$26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'!$M$23:$M$26</c:f>
              <c:numCache>
                <c:formatCode>_(* #,##0_);_(* \(#,##0\);_(* "-"??_);_(@_)</c:formatCode>
                <c:ptCount val="4"/>
                <c:pt idx="0">
                  <c:v>168</c:v>
                </c:pt>
                <c:pt idx="1">
                  <c:v>337</c:v>
                </c:pt>
                <c:pt idx="2">
                  <c:v>482.52800000000002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1E2-41AB-AF75-458177BDA2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6105808"/>
        <c:axId val="376109336"/>
      </c:barChart>
      <c:lineChart>
        <c:grouping val="standard"/>
        <c:varyColors val="0"/>
        <c:ser>
          <c:idx val="2"/>
          <c:order val="2"/>
          <c:tx>
            <c:strRef>
              <c:f>'Data '!$N$22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1.825459423509396E-4"/>
                  <c:y val="-2.35693283313408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41E2-41AB-AF75-458177BDA2E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9.6750323501147723E-3"/>
                  <c:y val="-7.15942256419914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41E2-41AB-AF75-458177BDA2E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9449511373312363E-3"/>
                  <c:y val="4.369795184559100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41E2-41AB-AF75-458177BDA2E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'!$K$23:$K$26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'!$N$23:$N$26</c:f>
              <c:numCache>
                <c:formatCode>0%</c:formatCode>
                <c:ptCount val="4"/>
                <c:pt idx="0">
                  <c:v>0.76842105263157889</c:v>
                </c:pt>
                <c:pt idx="1">
                  <c:v>0.5112107623318386</c:v>
                </c:pt>
                <c:pt idx="2">
                  <c:v>0.34408913649025075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41E2-41AB-AF75-458177BDA2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106200"/>
        <c:axId val="376106592"/>
      </c:lineChart>
      <c:catAx>
        <c:axId val="376105808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6109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6109336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6105808"/>
        <c:crosses val="autoZero"/>
        <c:crossBetween val="between"/>
      </c:valAx>
      <c:catAx>
        <c:axId val="376106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76106592"/>
        <c:crosses val="autoZero"/>
        <c:auto val="1"/>
        <c:lblAlgn val="ctr"/>
        <c:lblOffset val="100"/>
        <c:noMultiLvlLbl val="0"/>
      </c:catAx>
      <c:valAx>
        <c:axId val="376106592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6106200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824834532266422"/>
          <c:y val="0.93086889795149375"/>
          <c:w val="0.36350384396946506"/>
          <c:h val="5.305470402832349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546100</xdr:colOff>
      <xdr:row>4</xdr:row>
      <xdr:rowOff>114300</xdr:rowOff>
    </xdr:from>
    <xdr:to>
      <xdr:col>15</xdr:col>
      <xdr:colOff>69850</xdr:colOff>
      <xdr:row>29</xdr:row>
      <xdr:rowOff>63500</xdr:rowOff>
    </xdr:to>
    <xdr:graphicFrame macro="">
      <xdr:nvGraphicFramePr>
        <xdr:cNvPr id="110376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171450</xdr:colOff>
      <xdr:row>3</xdr:row>
      <xdr:rowOff>85725</xdr:rowOff>
    </xdr:from>
    <xdr:to>
      <xdr:col>10</xdr:col>
      <xdr:colOff>549273</xdr:colOff>
      <xdr:row>6</xdr:row>
      <xdr:rowOff>9525</xdr:rowOff>
    </xdr:to>
    <xdr:sp macro="" textlink="">
      <xdr:nvSpPr>
        <xdr:cNvPr id="2050" name="Rectangle 2"/>
        <xdr:cNvSpPr>
          <a:spLocks noChangeArrowheads="1"/>
        </xdr:cNvSpPr>
      </xdr:nvSpPr>
      <xdr:spPr bwMode="auto">
        <a:xfrm>
          <a:off x="3219450" y="638175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Passenger Cars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17</xdr:col>
      <xdr:colOff>438150</xdr:colOff>
      <xdr:row>4</xdr:row>
      <xdr:rowOff>139700</xdr:rowOff>
    </xdr:from>
    <xdr:to>
      <xdr:col>31</xdr:col>
      <xdr:colOff>127000</xdr:colOff>
      <xdr:row>29</xdr:row>
      <xdr:rowOff>82550</xdr:rowOff>
    </xdr:to>
    <xdr:graphicFrame macro="">
      <xdr:nvGraphicFramePr>
        <xdr:cNvPr id="1103766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342900</xdr:colOff>
      <xdr:row>3</xdr:row>
      <xdr:rowOff>47625</xdr:rowOff>
    </xdr:from>
    <xdr:to>
      <xdr:col>27</xdr:col>
      <xdr:colOff>104775</xdr:colOff>
      <xdr:row>5</xdr:row>
      <xdr:rowOff>133350</xdr:rowOff>
    </xdr:to>
    <xdr:sp macro="" textlink="">
      <xdr:nvSpPr>
        <xdr:cNvPr id="2052" name="Rectangle 4"/>
        <xdr:cNvSpPr>
          <a:spLocks noChangeArrowheads="1"/>
        </xdr:cNvSpPr>
      </xdr:nvSpPr>
      <xdr:spPr bwMode="auto">
        <a:xfrm>
          <a:off x="13144500" y="600075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Passenger Cars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15</xdr:col>
      <xdr:colOff>146050</xdr:colOff>
      <xdr:row>59</xdr:row>
      <xdr:rowOff>120650</xdr:rowOff>
    </xdr:to>
    <xdr:graphicFrame macro="">
      <xdr:nvGraphicFramePr>
        <xdr:cNvPr id="11037671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171450</xdr:colOff>
      <xdr:row>33</xdr:row>
      <xdr:rowOff>123825</xdr:rowOff>
    </xdr:from>
    <xdr:to>
      <xdr:col>10</xdr:col>
      <xdr:colOff>549273</xdr:colOff>
      <xdr:row>36</xdr:row>
      <xdr:rowOff>47625</xdr:rowOff>
    </xdr:to>
    <xdr:sp macro="" textlink="">
      <xdr:nvSpPr>
        <xdr:cNvPr id="2055" name="Rectangle 7"/>
        <xdr:cNvSpPr>
          <a:spLocks noChangeArrowheads="1"/>
        </xdr:cNvSpPr>
      </xdr:nvSpPr>
      <xdr:spPr bwMode="auto">
        <a:xfrm>
          <a:off x="3219450" y="5534025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Vans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17</xdr:col>
      <xdr:colOff>508000</xdr:colOff>
      <xdr:row>35</xdr:row>
      <xdr:rowOff>0</xdr:rowOff>
    </xdr:from>
    <xdr:to>
      <xdr:col>31</xdr:col>
      <xdr:colOff>222250</xdr:colOff>
      <xdr:row>59</xdr:row>
      <xdr:rowOff>114300</xdr:rowOff>
    </xdr:to>
    <xdr:graphicFrame macro="">
      <xdr:nvGraphicFramePr>
        <xdr:cNvPr id="11037673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73025</xdr:colOff>
      <xdr:row>33</xdr:row>
      <xdr:rowOff>76200</xdr:rowOff>
    </xdr:from>
    <xdr:to>
      <xdr:col>27</xdr:col>
      <xdr:colOff>438152</xdr:colOff>
      <xdr:row>36</xdr:row>
      <xdr:rowOff>0</xdr:rowOff>
    </xdr:to>
    <xdr:sp macro="" textlink="">
      <xdr:nvSpPr>
        <xdr:cNvPr id="2057" name="Rectangle 9"/>
        <xdr:cNvSpPr>
          <a:spLocks noChangeArrowheads="1"/>
        </xdr:cNvSpPr>
      </xdr:nvSpPr>
      <xdr:spPr bwMode="auto">
        <a:xfrm>
          <a:off x="13477875" y="548640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Vans-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15</xdr:col>
      <xdr:colOff>152400</xdr:colOff>
      <xdr:row>88</xdr:row>
      <xdr:rowOff>133350</xdr:rowOff>
    </xdr:to>
    <xdr:graphicFrame macro="">
      <xdr:nvGraphicFramePr>
        <xdr:cNvPr id="1103767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171450</xdr:colOff>
      <xdr:row>62</xdr:row>
      <xdr:rowOff>104775</xdr:rowOff>
    </xdr:from>
    <xdr:to>
      <xdr:col>10</xdr:col>
      <xdr:colOff>549273</xdr:colOff>
      <xdr:row>65</xdr:row>
      <xdr:rowOff>28575</xdr:rowOff>
    </xdr:to>
    <xdr:sp macro="" textlink="">
      <xdr:nvSpPr>
        <xdr:cNvPr id="2060" name="Rectangle 12"/>
        <xdr:cNvSpPr>
          <a:spLocks noChangeArrowheads="1"/>
        </xdr:cNvSpPr>
      </xdr:nvSpPr>
      <xdr:spPr bwMode="auto">
        <a:xfrm>
          <a:off x="3219450" y="1021080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UV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18</xdr:col>
      <xdr:colOff>0</xdr:colOff>
      <xdr:row>64</xdr:row>
      <xdr:rowOff>0</xdr:rowOff>
    </xdr:from>
    <xdr:to>
      <xdr:col>32</xdr:col>
      <xdr:colOff>165100</xdr:colOff>
      <xdr:row>88</xdr:row>
      <xdr:rowOff>139700</xdr:rowOff>
    </xdr:to>
    <xdr:graphicFrame macro="">
      <xdr:nvGraphicFramePr>
        <xdr:cNvPr id="11037677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22</xdr:col>
      <xdr:colOff>130175</xdr:colOff>
      <xdr:row>62</xdr:row>
      <xdr:rowOff>104775</xdr:rowOff>
    </xdr:from>
    <xdr:to>
      <xdr:col>27</xdr:col>
      <xdr:colOff>495302</xdr:colOff>
      <xdr:row>65</xdr:row>
      <xdr:rowOff>28575</xdr:rowOff>
    </xdr:to>
    <xdr:sp macro="" textlink="">
      <xdr:nvSpPr>
        <xdr:cNvPr id="2062" name="Rectangle 14"/>
        <xdr:cNvSpPr>
          <a:spLocks noChangeArrowheads="1"/>
        </xdr:cNvSpPr>
      </xdr:nvSpPr>
      <xdr:spPr bwMode="auto">
        <a:xfrm>
          <a:off x="13535025" y="1021080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UV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 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0.00547</cdr:x>
      <cdr:y>0.01179</cdr:y>
    </cdr:from>
    <cdr:to>
      <cdr:x>0.00547</cdr:x>
      <cdr:y>0.01179</cdr:y>
    </cdr:to>
    <cdr:sp macro="" textlink="">
      <cdr:nvSpPr>
        <cdr:cNvPr id="13313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jo9EE6dWpxJu0P1F1ZbpBH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0.00547</cdr:x>
      <cdr:y>0.01179</cdr:y>
    </cdr:from>
    <cdr:to>
      <cdr:x>0.00547</cdr:x>
      <cdr:y>0.01179</cdr:y>
    </cdr:to>
    <cdr:sp macro="" textlink="">
      <cdr:nvSpPr>
        <cdr:cNvPr id="14337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yeUDndiupP4zBRxWZrqJL7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0.00546</cdr:x>
      <cdr:y>0.01176</cdr:y>
    </cdr:from>
    <cdr:to>
      <cdr:x>0.00546</cdr:x>
      <cdr:y>0.01176</cdr:y>
    </cdr:to>
    <cdr:sp macro="" textlink="">
      <cdr:nvSpPr>
        <cdr:cNvPr id="15361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ygZ9Akq1OiCCQVK1I0EV8T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603250</xdr:colOff>
      <xdr:row>4</xdr:row>
      <xdr:rowOff>152400</xdr:rowOff>
    </xdr:from>
    <xdr:to>
      <xdr:col>15</xdr:col>
      <xdr:colOff>31750</xdr:colOff>
      <xdr:row>29</xdr:row>
      <xdr:rowOff>38100</xdr:rowOff>
    </xdr:to>
    <xdr:graphicFrame macro="">
      <xdr:nvGraphicFramePr>
        <xdr:cNvPr id="94614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568325</xdr:colOff>
      <xdr:row>3</xdr:row>
      <xdr:rowOff>85725</xdr:rowOff>
    </xdr:from>
    <xdr:to>
      <xdr:col>10</xdr:col>
      <xdr:colOff>323856</xdr:colOff>
      <xdr:row>6</xdr:row>
      <xdr:rowOff>9525</xdr:rowOff>
    </xdr:to>
    <xdr:sp macro="" textlink="">
      <xdr:nvSpPr>
        <xdr:cNvPr id="7170" name="Rectangle 2"/>
        <xdr:cNvSpPr>
          <a:spLocks noChangeArrowheads="1"/>
        </xdr:cNvSpPr>
      </xdr:nvSpPr>
      <xdr:spPr bwMode="auto">
        <a:xfrm>
          <a:off x="3000375" y="638175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Three wheelers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50800</xdr:colOff>
      <xdr:row>29</xdr:row>
      <xdr:rowOff>57150</xdr:rowOff>
    </xdr:to>
    <xdr:graphicFrame macro="">
      <xdr:nvGraphicFramePr>
        <xdr:cNvPr id="946141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76200</xdr:colOff>
      <xdr:row>3</xdr:row>
      <xdr:rowOff>57150</xdr:rowOff>
    </xdr:from>
    <xdr:to>
      <xdr:col>26</xdr:col>
      <xdr:colOff>447675</xdr:colOff>
      <xdr:row>5</xdr:row>
      <xdr:rowOff>142875</xdr:rowOff>
    </xdr:to>
    <xdr:sp macro="" textlink="">
      <xdr:nvSpPr>
        <xdr:cNvPr id="7172" name="Rectangle 4"/>
        <xdr:cNvSpPr>
          <a:spLocks noChangeArrowheads="1"/>
        </xdr:cNvSpPr>
      </xdr:nvSpPr>
      <xdr:spPr bwMode="auto">
        <a:xfrm>
          <a:off x="12877800" y="60960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Three wheelers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0.00555</cdr:x>
      <cdr:y>0.01208</cdr:y>
    </cdr:from>
    <cdr:to>
      <cdr:x>0.00555</cdr:x>
      <cdr:y>0.01208</cdr:y>
    </cdr:to>
    <cdr:sp macro="" textlink="">
      <cdr:nvSpPr>
        <cdr:cNvPr id="22529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50" b="0" i="0" u="none" strike="noStrike" baseline="0">
              <a:solidFill>
                <a:srgbClr val="000000"/>
              </a:solidFill>
              <a:latin typeface="Arial"/>
              <a:cs typeface="Arial"/>
            </a:rPr>
            <a:t>gEC7Nh0RvPQQZMJKxJvfcx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0.00554</cdr:x>
      <cdr:y>0.01205</cdr:y>
    </cdr:from>
    <cdr:to>
      <cdr:x>0.00554</cdr:x>
      <cdr:y>0.01205</cdr:y>
    </cdr:to>
    <cdr:sp macro="" textlink="">
      <cdr:nvSpPr>
        <cdr:cNvPr id="23553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yMZGiDiNXY2s1jW1YbNFTf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15</xdr:col>
      <xdr:colOff>88900</xdr:colOff>
      <xdr:row>29</xdr:row>
      <xdr:rowOff>82550</xdr:rowOff>
    </xdr:to>
    <xdr:graphicFrame macro="">
      <xdr:nvGraphicFramePr>
        <xdr:cNvPr id="110520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495300</xdr:colOff>
      <xdr:row>3</xdr:row>
      <xdr:rowOff>114300</xdr:rowOff>
    </xdr:from>
    <xdr:to>
      <xdr:col>10</xdr:col>
      <xdr:colOff>263531</xdr:colOff>
      <xdr:row>6</xdr:row>
      <xdr:rowOff>38100</xdr:rowOff>
    </xdr:to>
    <xdr:sp macro="" textlink="">
      <xdr:nvSpPr>
        <xdr:cNvPr id="6146" name="Rectangle 2"/>
        <xdr:cNvSpPr>
          <a:spLocks noChangeArrowheads="1"/>
        </xdr:cNvSpPr>
      </xdr:nvSpPr>
      <xdr:spPr bwMode="auto">
        <a:xfrm>
          <a:off x="2933700" y="66675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Scooters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95250</xdr:colOff>
      <xdr:row>29</xdr:row>
      <xdr:rowOff>95250</xdr:rowOff>
    </xdr:to>
    <xdr:graphicFrame macro="">
      <xdr:nvGraphicFramePr>
        <xdr:cNvPr id="1105200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209550</xdr:colOff>
      <xdr:row>3</xdr:row>
      <xdr:rowOff>114300</xdr:rowOff>
    </xdr:from>
    <xdr:to>
      <xdr:col>26</xdr:col>
      <xdr:colOff>581025</xdr:colOff>
      <xdr:row>6</xdr:row>
      <xdr:rowOff>38100</xdr:rowOff>
    </xdr:to>
    <xdr:sp macro="" textlink="">
      <xdr:nvSpPr>
        <xdr:cNvPr id="6148" name="Rectangle 4"/>
        <xdr:cNvSpPr>
          <a:spLocks noChangeArrowheads="1"/>
        </xdr:cNvSpPr>
      </xdr:nvSpPr>
      <xdr:spPr bwMode="auto">
        <a:xfrm>
          <a:off x="13011150" y="66675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Scooters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15</xdr:col>
      <xdr:colOff>95250</xdr:colOff>
      <xdr:row>58</xdr:row>
      <xdr:rowOff>95250</xdr:rowOff>
    </xdr:to>
    <xdr:graphicFrame macro="">
      <xdr:nvGraphicFramePr>
        <xdr:cNvPr id="1105200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530225</xdr:colOff>
      <xdr:row>32</xdr:row>
      <xdr:rowOff>104775</xdr:rowOff>
    </xdr:from>
    <xdr:to>
      <xdr:col>10</xdr:col>
      <xdr:colOff>285756</xdr:colOff>
      <xdr:row>35</xdr:row>
      <xdr:rowOff>28575</xdr:rowOff>
    </xdr:to>
    <xdr:sp macro="" textlink="">
      <xdr:nvSpPr>
        <xdr:cNvPr id="6150" name="Rectangle 6"/>
        <xdr:cNvSpPr>
          <a:spLocks noChangeArrowheads="1"/>
        </xdr:cNvSpPr>
      </xdr:nvSpPr>
      <xdr:spPr bwMode="auto">
        <a:xfrm>
          <a:off x="2962275" y="535305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Motorcycles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17</xdr:col>
      <xdr:colOff>0</xdr:colOff>
      <xdr:row>34</xdr:row>
      <xdr:rowOff>0</xdr:rowOff>
    </xdr:from>
    <xdr:to>
      <xdr:col>31</xdr:col>
      <xdr:colOff>107950</xdr:colOff>
      <xdr:row>58</xdr:row>
      <xdr:rowOff>101600</xdr:rowOff>
    </xdr:to>
    <xdr:graphicFrame macro="">
      <xdr:nvGraphicFramePr>
        <xdr:cNvPr id="1105200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371475</xdr:colOff>
      <xdr:row>32</xdr:row>
      <xdr:rowOff>104775</xdr:rowOff>
    </xdr:from>
    <xdr:to>
      <xdr:col>27</xdr:col>
      <xdr:colOff>133350</xdr:colOff>
      <xdr:row>35</xdr:row>
      <xdr:rowOff>28575</xdr:rowOff>
    </xdr:to>
    <xdr:sp macro="" textlink="">
      <xdr:nvSpPr>
        <xdr:cNvPr id="6152" name="Rectangle 8"/>
        <xdr:cNvSpPr>
          <a:spLocks noChangeArrowheads="1"/>
        </xdr:cNvSpPr>
      </xdr:nvSpPr>
      <xdr:spPr bwMode="auto">
        <a:xfrm>
          <a:off x="13173075" y="535305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Motorcycles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15</xdr:col>
      <xdr:colOff>107950</xdr:colOff>
      <xdr:row>86</xdr:row>
      <xdr:rowOff>101600</xdr:rowOff>
    </xdr:to>
    <xdr:graphicFrame macro="">
      <xdr:nvGraphicFramePr>
        <xdr:cNvPr id="11052009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530225</xdr:colOff>
      <xdr:row>60</xdr:row>
      <xdr:rowOff>47625</xdr:rowOff>
    </xdr:from>
    <xdr:to>
      <xdr:col>10</xdr:col>
      <xdr:colOff>285756</xdr:colOff>
      <xdr:row>62</xdr:row>
      <xdr:rowOff>133350</xdr:rowOff>
    </xdr:to>
    <xdr:sp macro="" textlink="">
      <xdr:nvSpPr>
        <xdr:cNvPr id="6154" name="Rectangle 10"/>
        <xdr:cNvSpPr>
          <a:spLocks noChangeArrowheads="1"/>
        </xdr:cNvSpPr>
      </xdr:nvSpPr>
      <xdr:spPr bwMode="auto">
        <a:xfrm>
          <a:off x="2962275" y="982980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Mopeds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16</xdr:col>
      <xdr:colOff>590550</xdr:colOff>
      <xdr:row>61</xdr:row>
      <xdr:rowOff>76200</xdr:rowOff>
    </xdr:from>
    <xdr:to>
      <xdr:col>31</xdr:col>
      <xdr:colOff>95250</xdr:colOff>
      <xdr:row>86</xdr:row>
      <xdr:rowOff>25400</xdr:rowOff>
    </xdr:to>
    <xdr:graphicFrame macro="">
      <xdr:nvGraphicFramePr>
        <xdr:cNvPr id="11052011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</xdr:col>
      <xdr:colOff>123825</xdr:colOff>
      <xdr:row>60</xdr:row>
      <xdr:rowOff>38100</xdr:rowOff>
    </xdr:from>
    <xdr:to>
      <xdr:col>26</xdr:col>
      <xdr:colOff>495300</xdr:colOff>
      <xdr:row>62</xdr:row>
      <xdr:rowOff>123825</xdr:rowOff>
    </xdr:to>
    <xdr:sp macro="" textlink="">
      <xdr:nvSpPr>
        <xdr:cNvPr id="6156" name="Rectangle 12"/>
        <xdr:cNvSpPr>
          <a:spLocks noChangeArrowheads="1"/>
        </xdr:cNvSpPr>
      </xdr:nvSpPr>
      <xdr:spPr bwMode="auto">
        <a:xfrm>
          <a:off x="12925425" y="9820275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Mopeds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0.00552</cdr:x>
      <cdr:y>0.01196</cdr:y>
    </cdr:from>
    <cdr:to>
      <cdr:x>0.00552</cdr:x>
      <cdr:y>0.01196</cdr:y>
    </cdr:to>
    <cdr:sp macro="" textlink="">
      <cdr:nvSpPr>
        <cdr:cNvPr id="16385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qqd9840KZSVqFDDdCY3n1L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0.00551</cdr:x>
      <cdr:y>0.01193</cdr:y>
    </cdr:from>
    <cdr:to>
      <cdr:x>0.00551</cdr:x>
      <cdr:y>0.01193</cdr:y>
    </cdr:to>
    <cdr:sp macro="" textlink="">
      <cdr:nvSpPr>
        <cdr:cNvPr id="17409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WY0CcXIq4QZEPyWrcm04iK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0.00551</cdr:x>
      <cdr:y>0.01193</cdr:y>
    </cdr:from>
    <cdr:to>
      <cdr:x>0.00551</cdr:x>
      <cdr:y>0.01193</cdr:y>
    </cdr:to>
    <cdr:sp macro="" textlink="">
      <cdr:nvSpPr>
        <cdr:cNvPr id="18433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Hqf6nunFRKSEue8vR21zN4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0.00549</cdr:x>
      <cdr:y>0.01188</cdr:y>
    </cdr:from>
    <cdr:to>
      <cdr:x>0.00549</cdr:x>
      <cdr:y>0.01188</cdr:y>
    </cdr:to>
    <cdr:sp macro="" textlink="">
      <cdr:nvSpPr>
        <cdr:cNvPr id="3073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UcEybvgkg2lypzrKNMDh34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0.00551</cdr:x>
      <cdr:y>0.0119</cdr:y>
    </cdr:from>
    <cdr:to>
      <cdr:x>0.00551</cdr:x>
      <cdr:y>0.0119</cdr:y>
    </cdr:to>
    <cdr:sp macro="" textlink="">
      <cdr:nvSpPr>
        <cdr:cNvPr id="19457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r1N4hbMHnWschAm6Ad2pZe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0.00551</cdr:x>
      <cdr:y>0.0119</cdr:y>
    </cdr:from>
    <cdr:to>
      <cdr:x>0.00551</cdr:x>
      <cdr:y>0.0119</cdr:y>
    </cdr:to>
    <cdr:sp macro="" textlink="">
      <cdr:nvSpPr>
        <cdr:cNvPr id="20481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Mb4HiGuY3JWDYeiidbT9nV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0.0055</cdr:x>
      <cdr:y>0.01188</cdr:y>
    </cdr:from>
    <cdr:to>
      <cdr:x>0.0055</cdr:x>
      <cdr:y>0.01188</cdr:y>
    </cdr:to>
    <cdr:sp macro="" textlink="">
      <cdr:nvSpPr>
        <cdr:cNvPr id="21505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bhXy9LsNwo5ceC0AT5coTJ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0.00579</cdr:x>
      <cdr:y>0.0119</cdr:y>
    </cdr:from>
    <cdr:to>
      <cdr:x>0.00579</cdr:x>
      <cdr:y>0.0119</cdr:y>
    </cdr:to>
    <cdr:sp macro="" textlink="">
      <cdr:nvSpPr>
        <cdr:cNvPr id="4097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3LnqXHAuPVG1RYD37CdtwI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0.00548</cdr:x>
      <cdr:y>0.01185</cdr:y>
    </cdr:from>
    <cdr:to>
      <cdr:x>0.00548</cdr:x>
      <cdr:y>0.01185</cdr:y>
    </cdr:to>
    <cdr:sp macro="" textlink="">
      <cdr:nvSpPr>
        <cdr:cNvPr id="8193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Dv32LANUn29P9TaKxzJLcq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0.00577</cdr:x>
      <cdr:y>0.01188</cdr:y>
    </cdr:from>
    <cdr:to>
      <cdr:x>0.00577</cdr:x>
      <cdr:y>0.01188</cdr:y>
    </cdr:to>
    <cdr:sp macro="" textlink="">
      <cdr:nvSpPr>
        <cdr:cNvPr id="9217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SnIs7JF14zyk8SnVV0HVxD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0.00548</cdr:x>
      <cdr:y>0.01182</cdr:y>
    </cdr:from>
    <cdr:to>
      <cdr:x>0.00548</cdr:x>
      <cdr:y>0.01182</cdr:y>
    </cdr:to>
    <cdr:sp macro="" textlink="">
      <cdr:nvSpPr>
        <cdr:cNvPr id="10241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25" b="0" i="0" u="none" strike="noStrike" baseline="0">
              <a:solidFill>
                <a:srgbClr val="000000"/>
              </a:solidFill>
              <a:latin typeface="Arial"/>
              <a:cs typeface="Arial"/>
            </a:rPr>
            <a:t>R2PKTn4EJLwcCFjit3fmYz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0.00547</cdr:x>
      <cdr:y>0.01179</cdr:y>
    </cdr:from>
    <cdr:to>
      <cdr:x>0.00547</cdr:x>
      <cdr:y>0.01179</cdr:y>
    </cdr:to>
    <cdr:sp macro="" textlink="">
      <cdr:nvSpPr>
        <cdr:cNvPr id="11265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25" b="0" i="0" u="none" strike="noStrike" baseline="0">
              <a:solidFill>
                <a:srgbClr val="000000"/>
              </a:solidFill>
              <a:latin typeface="Arial"/>
              <a:cs typeface="Arial"/>
            </a:rPr>
            <a:t>hOKhnCDJ3hSewFDmPiWqQM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603250</xdr:colOff>
      <xdr:row>5</xdr:row>
      <xdr:rowOff>0</xdr:rowOff>
    </xdr:from>
    <xdr:to>
      <xdr:col>15</xdr:col>
      <xdr:colOff>146050</xdr:colOff>
      <xdr:row>29</xdr:row>
      <xdr:rowOff>133350</xdr:rowOff>
    </xdr:to>
    <xdr:graphicFrame macro="">
      <xdr:nvGraphicFramePr>
        <xdr:cNvPr id="118213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3</xdr:row>
      <xdr:rowOff>85725</xdr:rowOff>
    </xdr:from>
    <xdr:to>
      <xdr:col>10</xdr:col>
      <xdr:colOff>381000</xdr:colOff>
      <xdr:row>6</xdr:row>
      <xdr:rowOff>9525</xdr:rowOff>
    </xdr:to>
    <xdr:sp macro="" textlink="">
      <xdr:nvSpPr>
        <xdr:cNvPr id="5122" name="Rectangle 2"/>
        <xdr:cNvSpPr>
          <a:spLocks noChangeArrowheads="1"/>
        </xdr:cNvSpPr>
      </xdr:nvSpPr>
      <xdr:spPr bwMode="auto">
        <a:xfrm>
          <a:off x="3057525" y="638175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M&amp;HCV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165100</xdr:colOff>
      <xdr:row>29</xdr:row>
      <xdr:rowOff>139700</xdr:rowOff>
    </xdr:to>
    <xdr:graphicFrame macro="">
      <xdr:nvGraphicFramePr>
        <xdr:cNvPr id="1182138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238125</xdr:colOff>
      <xdr:row>3</xdr:row>
      <xdr:rowOff>38100</xdr:rowOff>
    </xdr:from>
    <xdr:to>
      <xdr:col>27</xdr:col>
      <xdr:colOff>0</xdr:colOff>
      <xdr:row>5</xdr:row>
      <xdr:rowOff>123825</xdr:rowOff>
    </xdr:to>
    <xdr:sp macro="" textlink="">
      <xdr:nvSpPr>
        <xdr:cNvPr id="5124" name="Rectangle 4"/>
        <xdr:cNvSpPr>
          <a:spLocks noChangeArrowheads="1"/>
        </xdr:cNvSpPr>
      </xdr:nvSpPr>
      <xdr:spPr bwMode="auto">
        <a:xfrm>
          <a:off x="13039725" y="59055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M&amp;HCV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15</xdr:col>
      <xdr:colOff>165100</xdr:colOff>
      <xdr:row>57</xdr:row>
      <xdr:rowOff>139700</xdr:rowOff>
    </xdr:to>
    <xdr:graphicFrame macro="">
      <xdr:nvGraphicFramePr>
        <xdr:cNvPr id="1182138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28575</xdr:colOff>
      <xdr:row>31</xdr:row>
      <xdr:rowOff>123825</xdr:rowOff>
    </xdr:from>
    <xdr:to>
      <xdr:col>10</xdr:col>
      <xdr:colOff>400050</xdr:colOff>
      <xdr:row>34</xdr:row>
      <xdr:rowOff>47625</xdr:rowOff>
    </xdr:to>
    <xdr:sp macro="" textlink="">
      <xdr:nvSpPr>
        <xdr:cNvPr id="5126" name="Rectangle 6"/>
        <xdr:cNvSpPr>
          <a:spLocks noChangeArrowheads="1"/>
        </xdr:cNvSpPr>
      </xdr:nvSpPr>
      <xdr:spPr bwMode="auto">
        <a:xfrm>
          <a:off x="3076575" y="5210175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LCV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17</xdr:col>
      <xdr:colOff>0</xdr:colOff>
      <xdr:row>33</xdr:row>
      <xdr:rowOff>0</xdr:rowOff>
    </xdr:from>
    <xdr:to>
      <xdr:col>31</xdr:col>
      <xdr:colOff>171450</xdr:colOff>
      <xdr:row>57</xdr:row>
      <xdr:rowOff>152400</xdr:rowOff>
    </xdr:to>
    <xdr:graphicFrame macro="">
      <xdr:nvGraphicFramePr>
        <xdr:cNvPr id="1182138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466725</xdr:colOff>
      <xdr:row>31</xdr:row>
      <xdr:rowOff>114300</xdr:rowOff>
    </xdr:from>
    <xdr:to>
      <xdr:col>27</xdr:col>
      <xdr:colOff>228600</xdr:colOff>
      <xdr:row>34</xdr:row>
      <xdr:rowOff>38100</xdr:rowOff>
    </xdr:to>
    <xdr:sp macro="" textlink="">
      <xdr:nvSpPr>
        <xdr:cNvPr id="5130" name="Rectangle 10"/>
        <xdr:cNvSpPr>
          <a:spLocks noChangeArrowheads="1"/>
        </xdr:cNvSpPr>
      </xdr:nvSpPr>
      <xdr:spPr bwMode="auto">
        <a:xfrm>
          <a:off x="13268325" y="520065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LCV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0.00548</cdr:x>
      <cdr:y>0.01182</cdr:y>
    </cdr:from>
    <cdr:to>
      <cdr:x>0.00548</cdr:x>
      <cdr:y>0.01182</cdr:y>
    </cdr:to>
    <cdr:sp macro="" textlink="">
      <cdr:nvSpPr>
        <cdr:cNvPr id="12289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OVgHBDxDFbFhL0ZCZr00Ie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C60"/>
  <sheetViews>
    <sheetView tabSelected="1" workbookViewId="0"/>
  </sheetViews>
  <sheetFormatPr defaultRowHeight="12.5" x14ac:dyDescent="0.25"/>
  <cols>
    <col min="2" max="2" width="11.26953125" bestFit="1" customWidth="1"/>
    <col min="3" max="3" width="11.453125" bestFit="1" customWidth="1"/>
    <col min="4" max="4" width="14.453125" bestFit="1" customWidth="1"/>
    <col min="7" max="7" width="11.26953125" bestFit="1" customWidth="1"/>
    <col min="8" max="8" width="11.453125" bestFit="1" customWidth="1"/>
    <col min="9" max="9" width="14.453125" bestFit="1" customWidth="1"/>
    <col min="12" max="12" width="11.26953125" bestFit="1" customWidth="1"/>
    <col min="13" max="13" width="11.453125" bestFit="1" customWidth="1"/>
    <col min="14" max="14" width="14.453125" bestFit="1" customWidth="1"/>
    <col min="17" max="18" width="11.26953125" bestFit="1" customWidth="1"/>
    <col min="19" max="19" width="14.453125" bestFit="1" customWidth="1"/>
    <col min="22" max="23" width="10.453125" bestFit="1" customWidth="1"/>
    <col min="24" max="24" width="14.453125" bestFit="1" customWidth="1"/>
    <col min="27" max="28" width="10.453125" bestFit="1" customWidth="1"/>
    <col min="29" max="29" width="14.453125" bestFit="1" customWidth="1"/>
  </cols>
  <sheetData>
    <row r="1" spans="1:29" ht="13" x14ac:dyDescent="0.3">
      <c r="A1" s="11" t="s">
        <v>36</v>
      </c>
      <c r="S1">
        <v>1000</v>
      </c>
    </row>
    <row r="2" spans="1:29" ht="13" x14ac:dyDescent="0.3">
      <c r="A2" s="2" t="s">
        <v>13</v>
      </c>
      <c r="F2" s="2" t="s">
        <v>14</v>
      </c>
      <c r="K2" s="2" t="s">
        <v>42</v>
      </c>
      <c r="P2" s="2" t="s">
        <v>41</v>
      </c>
      <c r="U2" s="2" t="s">
        <v>31</v>
      </c>
      <c r="Z2" s="2" t="s">
        <v>32</v>
      </c>
    </row>
    <row r="3" spans="1:29" ht="13" x14ac:dyDescent="0.3">
      <c r="B3" s="3" t="s">
        <v>43</v>
      </c>
      <c r="C3" s="3" t="s">
        <v>48</v>
      </c>
      <c r="D3" s="3" t="s">
        <v>12</v>
      </c>
      <c r="G3" s="3" t="s">
        <v>43</v>
      </c>
      <c r="H3" s="3" t="s">
        <v>48</v>
      </c>
      <c r="I3" s="3" t="s">
        <v>12</v>
      </c>
      <c r="L3" s="3" t="s">
        <v>43</v>
      </c>
      <c r="M3" s="3" t="s">
        <v>48</v>
      </c>
      <c r="N3" s="3" t="s">
        <v>12</v>
      </c>
      <c r="Q3" s="3" t="s">
        <v>43</v>
      </c>
      <c r="R3" s="3" t="s">
        <v>48</v>
      </c>
      <c r="S3" s="3" t="s">
        <v>12</v>
      </c>
      <c r="V3" s="3" t="s">
        <v>43</v>
      </c>
      <c r="W3" s="3" t="s">
        <v>48</v>
      </c>
      <c r="X3" s="3" t="s">
        <v>12</v>
      </c>
      <c r="AA3" s="3" t="s">
        <v>43</v>
      </c>
      <c r="AB3" s="3" t="s">
        <v>48</v>
      </c>
      <c r="AC3" s="3" t="s">
        <v>12</v>
      </c>
    </row>
    <row r="4" spans="1:29" x14ac:dyDescent="0.25">
      <c r="A4" t="s">
        <v>0</v>
      </c>
      <c r="B4" s="5">
        <v>167</v>
      </c>
      <c r="C4" s="5">
        <v>149</v>
      </c>
      <c r="D4" s="4">
        <f t="shared" ref="D4:D12" si="0">(C4-B4)/B4</f>
        <v>-0.10778443113772455</v>
      </c>
      <c r="F4" t="s">
        <v>0</v>
      </c>
      <c r="G4" s="5">
        <v>166</v>
      </c>
      <c r="H4" s="5">
        <v>142</v>
      </c>
      <c r="I4" s="4">
        <f t="shared" ref="I4:I12" si="1">(H4-G4)/G4</f>
        <v>-0.14457831325301204</v>
      </c>
      <c r="K4" t="s">
        <v>0</v>
      </c>
      <c r="L4" s="5">
        <v>12</v>
      </c>
      <c r="M4" s="5">
        <v>11</v>
      </c>
      <c r="N4" s="4">
        <f t="shared" ref="N4:N12" si="2">(M4-L4)/L4</f>
        <v>-8.3333333333333329E-2</v>
      </c>
      <c r="P4" t="s">
        <v>0</v>
      </c>
      <c r="Q4" s="5">
        <v>12</v>
      </c>
      <c r="R4" s="5">
        <v>12</v>
      </c>
      <c r="S4" s="4">
        <f t="shared" ref="S4:S12" si="3">(R4-Q4)/Q4</f>
        <v>0</v>
      </c>
      <c r="U4" t="s">
        <v>0</v>
      </c>
      <c r="V4" s="5">
        <v>127</v>
      </c>
      <c r="W4" s="5">
        <v>147</v>
      </c>
      <c r="X4" s="4">
        <f t="shared" ref="X4:X12" si="4">(W4-V4)/V4</f>
        <v>0.15748031496062992</v>
      </c>
      <c r="Z4" t="s">
        <v>0</v>
      </c>
      <c r="AA4" s="5">
        <v>126</v>
      </c>
      <c r="AB4" s="5">
        <v>144</v>
      </c>
      <c r="AC4" s="4">
        <f t="shared" ref="AC4:AC12" si="5">(AB4-AA4)/AA4</f>
        <v>0.14285714285714285</v>
      </c>
    </row>
    <row r="5" spans="1:29" x14ac:dyDescent="0.25">
      <c r="A5" t="s">
        <v>1</v>
      </c>
      <c r="B5" s="5">
        <v>64</v>
      </c>
      <c r="C5" s="5">
        <v>158</v>
      </c>
      <c r="D5" s="4">
        <f t="shared" si="0"/>
        <v>1.46875</v>
      </c>
      <c r="F5" t="s">
        <v>1</v>
      </c>
      <c r="G5" s="5">
        <v>61</v>
      </c>
      <c r="H5" s="5">
        <v>162</v>
      </c>
      <c r="I5" s="4">
        <f t="shared" si="1"/>
        <v>1.6557377049180328</v>
      </c>
      <c r="K5" t="s">
        <v>1</v>
      </c>
      <c r="L5" s="5">
        <v>1</v>
      </c>
      <c r="M5" s="5">
        <v>11</v>
      </c>
      <c r="N5" s="4">
        <f t="shared" si="2"/>
        <v>10</v>
      </c>
      <c r="P5" t="s">
        <v>1</v>
      </c>
      <c r="Q5" s="5">
        <v>1</v>
      </c>
      <c r="R5" s="5">
        <v>11</v>
      </c>
      <c r="S5" s="4">
        <f t="shared" si="3"/>
        <v>10</v>
      </c>
      <c r="U5" t="s">
        <v>1</v>
      </c>
      <c r="V5" s="5">
        <v>63</v>
      </c>
      <c r="W5" s="5">
        <v>127</v>
      </c>
      <c r="X5" s="4">
        <f t="shared" si="4"/>
        <v>1.0158730158730158</v>
      </c>
      <c r="Z5" t="s">
        <v>1</v>
      </c>
      <c r="AA5" s="5">
        <v>57</v>
      </c>
      <c r="AB5" s="5">
        <v>135</v>
      </c>
      <c r="AC5" s="4">
        <f t="shared" si="5"/>
        <v>1.368421052631579</v>
      </c>
    </row>
    <row r="6" spans="1:29" x14ac:dyDescent="0.25">
      <c r="A6" t="s">
        <v>2</v>
      </c>
      <c r="B6" s="5">
        <v>168</v>
      </c>
      <c r="C6" s="5">
        <v>159</v>
      </c>
      <c r="D6" s="4">
        <f t="shared" si="0"/>
        <v>-5.3571428571428568E-2</v>
      </c>
      <c r="F6" t="s">
        <v>2</v>
      </c>
      <c r="G6" s="5">
        <v>156</v>
      </c>
      <c r="H6" s="5">
        <v>169</v>
      </c>
      <c r="I6" s="4">
        <f t="shared" si="1"/>
        <v>8.3333333333333329E-2</v>
      </c>
      <c r="K6" t="s">
        <v>2</v>
      </c>
      <c r="L6" s="5">
        <v>10</v>
      </c>
      <c r="M6" s="5">
        <v>10</v>
      </c>
      <c r="N6" s="4">
        <f t="shared" si="2"/>
        <v>0</v>
      </c>
      <c r="P6" t="s">
        <v>2</v>
      </c>
      <c r="Q6" s="5">
        <v>10</v>
      </c>
      <c r="R6" s="5">
        <v>10</v>
      </c>
      <c r="S6" s="4">
        <f t="shared" si="3"/>
        <v>0</v>
      </c>
      <c r="U6" t="s">
        <v>2</v>
      </c>
      <c r="V6" s="5">
        <v>118</v>
      </c>
      <c r="W6" s="5">
        <v>154</v>
      </c>
      <c r="X6" s="4">
        <f t="shared" si="4"/>
        <v>0.30508474576271188</v>
      </c>
      <c r="Z6" t="s">
        <v>2</v>
      </c>
      <c r="AA6" s="5">
        <v>118</v>
      </c>
      <c r="AB6" s="5">
        <v>153</v>
      </c>
      <c r="AC6" s="4">
        <f t="shared" si="5"/>
        <v>0.29661016949152541</v>
      </c>
    </row>
    <row r="7" spans="1:29" x14ac:dyDescent="0.25">
      <c r="A7" t="s">
        <v>3</v>
      </c>
      <c r="B7" s="7">
        <v>175</v>
      </c>
      <c r="C7" s="7">
        <v>180</v>
      </c>
      <c r="D7" s="4">
        <f t="shared" si="0"/>
        <v>2.8571428571428571E-2</v>
      </c>
      <c r="F7" t="s">
        <v>3</v>
      </c>
      <c r="G7" s="6">
        <v>165</v>
      </c>
      <c r="H7" s="6">
        <v>179</v>
      </c>
      <c r="I7" s="4">
        <f t="shared" si="1"/>
        <v>8.4848484848484854E-2</v>
      </c>
      <c r="K7" t="s">
        <v>3</v>
      </c>
      <c r="L7" s="5">
        <v>10</v>
      </c>
      <c r="M7" s="5">
        <v>13</v>
      </c>
      <c r="N7" s="4">
        <f t="shared" si="2"/>
        <v>0.3</v>
      </c>
      <c r="P7" t="s">
        <v>3</v>
      </c>
      <c r="Q7" s="5">
        <v>10</v>
      </c>
      <c r="R7" s="5">
        <v>13</v>
      </c>
      <c r="S7" s="4">
        <f t="shared" si="3"/>
        <v>0.3</v>
      </c>
      <c r="U7" t="s">
        <v>3</v>
      </c>
      <c r="V7" s="5">
        <v>148</v>
      </c>
      <c r="W7" s="5">
        <v>165</v>
      </c>
      <c r="X7" s="4">
        <f t="shared" si="4"/>
        <v>0.11486486486486487</v>
      </c>
      <c r="Z7" t="s">
        <v>3</v>
      </c>
      <c r="AA7" s="5">
        <v>141</v>
      </c>
      <c r="AB7" s="5">
        <v>155</v>
      </c>
      <c r="AC7" s="4">
        <f t="shared" si="5"/>
        <v>9.9290780141843976E-2</v>
      </c>
    </row>
    <row r="8" spans="1:29" x14ac:dyDescent="0.25">
      <c r="A8" t="s">
        <v>4</v>
      </c>
      <c r="B8" s="5">
        <v>126</v>
      </c>
      <c r="C8" s="5">
        <v>161</v>
      </c>
      <c r="D8" s="4">
        <f t="shared" si="0"/>
        <v>0.27777777777777779</v>
      </c>
      <c r="F8" t="s">
        <v>4</v>
      </c>
      <c r="G8" s="6">
        <v>141</v>
      </c>
      <c r="H8" s="6">
        <v>164</v>
      </c>
      <c r="I8" s="4">
        <f t="shared" si="1"/>
        <v>0.16312056737588654</v>
      </c>
      <c r="K8" t="s">
        <v>4</v>
      </c>
      <c r="L8" s="5">
        <v>11</v>
      </c>
      <c r="M8" s="5">
        <v>12</v>
      </c>
      <c r="N8" s="4">
        <f t="shared" si="2"/>
        <v>9.0909090909090912E-2</v>
      </c>
      <c r="P8" t="s">
        <v>4</v>
      </c>
      <c r="Q8" s="5">
        <v>11</v>
      </c>
      <c r="R8" s="5">
        <v>12</v>
      </c>
      <c r="S8" s="4">
        <f t="shared" si="3"/>
        <v>9.0909090909090912E-2</v>
      </c>
      <c r="U8" t="s">
        <v>4</v>
      </c>
      <c r="V8" s="5">
        <v>130</v>
      </c>
      <c r="W8" s="5">
        <v>161</v>
      </c>
      <c r="X8" s="4">
        <f t="shared" si="4"/>
        <v>0.23846153846153847</v>
      </c>
      <c r="Z8" t="s">
        <v>4</v>
      </c>
      <c r="AA8" s="5">
        <v>132</v>
      </c>
      <c r="AB8" s="5">
        <v>160</v>
      </c>
      <c r="AC8" s="4">
        <f t="shared" si="5"/>
        <v>0.21212121212121213</v>
      </c>
    </row>
    <row r="9" spans="1:29" x14ac:dyDescent="0.25">
      <c r="A9" t="s">
        <v>5</v>
      </c>
      <c r="B9" s="5">
        <v>87</v>
      </c>
      <c r="C9" s="5">
        <v>187</v>
      </c>
      <c r="D9" s="4">
        <f t="shared" si="0"/>
        <v>1.1494252873563218</v>
      </c>
      <c r="F9" t="s">
        <v>5</v>
      </c>
      <c r="G9" s="5">
        <v>100</v>
      </c>
      <c r="H9" s="5">
        <v>174</v>
      </c>
      <c r="I9" s="4">
        <f t="shared" si="1"/>
        <v>0.74</v>
      </c>
      <c r="K9" t="s">
        <v>5</v>
      </c>
      <c r="L9" s="5">
        <v>8</v>
      </c>
      <c r="M9" s="5">
        <v>13</v>
      </c>
      <c r="N9" s="4">
        <f t="shared" si="2"/>
        <v>0.625</v>
      </c>
      <c r="P9" t="s">
        <v>5</v>
      </c>
      <c r="Q9" s="5">
        <v>8</v>
      </c>
      <c r="R9" s="5">
        <v>13</v>
      </c>
      <c r="S9" s="4">
        <f t="shared" si="3"/>
        <v>0.625</v>
      </c>
      <c r="U9" t="s">
        <v>5</v>
      </c>
      <c r="V9" s="5">
        <v>103</v>
      </c>
      <c r="W9" s="5">
        <v>172</v>
      </c>
      <c r="X9" s="4">
        <f t="shared" si="4"/>
        <v>0.66990291262135926</v>
      </c>
      <c r="Z9" t="s">
        <v>5</v>
      </c>
      <c r="AA9" s="5">
        <v>106</v>
      </c>
      <c r="AB9" s="5">
        <v>172</v>
      </c>
      <c r="AC9" s="4">
        <f t="shared" si="5"/>
        <v>0.62264150943396224</v>
      </c>
    </row>
    <row r="10" spans="1:29" x14ac:dyDescent="0.25">
      <c r="A10" t="s">
        <v>6</v>
      </c>
      <c r="B10" s="5">
        <v>126</v>
      </c>
      <c r="C10" s="5">
        <v>170</v>
      </c>
      <c r="D10" s="4">
        <f t="shared" si="0"/>
        <v>0.34920634920634919</v>
      </c>
      <c r="F10" t="s">
        <v>6</v>
      </c>
      <c r="G10" s="5">
        <v>130</v>
      </c>
      <c r="H10" s="5">
        <v>174</v>
      </c>
      <c r="I10" s="4">
        <f t="shared" si="1"/>
        <v>0.33846153846153848</v>
      </c>
      <c r="K10" t="s">
        <v>6</v>
      </c>
      <c r="L10" s="5">
        <v>11</v>
      </c>
      <c r="M10" s="5">
        <v>9</v>
      </c>
      <c r="N10" s="4">
        <f t="shared" si="2"/>
        <v>-0.18181818181818182</v>
      </c>
      <c r="P10" t="s">
        <v>6</v>
      </c>
      <c r="Q10" s="5">
        <v>11</v>
      </c>
      <c r="R10" s="5">
        <v>9</v>
      </c>
      <c r="S10" s="4">
        <f t="shared" si="3"/>
        <v>-0.18181818181818182</v>
      </c>
      <c r="U10" t="s">
        <v>6</v>
      </c>
      <c r="V10" s="5">
        <v>121</v>
      </c>
      <c r="W10" s="5">
        <v>152</v>
      </c>
      <c r="X10" s="4">
        <f t="shared" si="4"/>
        <v>0.256198347107438</v>
      </c>
      <c r="Z10" t="s">
        <v>6</v>
      </c>
      <c r="AA10" s="5">
        <v>125</v>
      </c>
      <c r="AB10" s="5">
        <v>156</v>
      </c>
      <c r="AC10" s="4">
        <f t="shared" si="5"/>
        <v>0.248</v>
      </c>
    </row>
    <row r="11" spans="1:29" x14ac:dyDescent="0.25">
      <c r="A11" t="s">
        <v>7</v>
      </c>
      <c r="B11" s="5">
        <v>134</v>
      </c>
      <c r="C11" s="5">
        <v>172</v>
      </c>
      <c r="D11" s="4">
        <f t="shared" si="0"/>
        <v>0.28358208955223879</v>
      </c>
      <c r="F11" t="s">
        <v>7</v>
      </c>
      <c r="G11" s="5">
        <v>131</v>
      </c>
      <c r="H11" s="5">
        <v>167</v>
      </c>
      <c r="I11" s="4">
        <f t="shared" si="1"/>
        <v>0.27480916030534353</v>
      </c>
      <c r="K11" t="s">
        <v>7</v>
      </c>
      <c r="L11" s="5">
        <v>10</v>
      </c>
      <c r="M11" s="5">
        <v>7</v>
      </c>
      <c r="N11" s="4">
        <f t="shared" si="2"/>
        <v>-0.3</v>
      </c>
      <c r="P11" t="s">
        <v>7</v>
      </c>
      <c r="Q11" s="5">
        <v>10</v>
      </c>
      <c r="R11" s="5">
        <v>7</v>
      </c>
      <c r="S11" s="4">
        <f t="shared" si="3"/>
        <v>-0.3</v>
      </c>
      <c r="U11" t="s">
        <v>7</v>
      </c>
      <c r="V11" s="5">
        <v>122</v>
      </c>
      <c r="W11" s="5">
        <v>164</v>
      </c>
      <c r="X11" s="4">
        <f t="shared" si="4"/>
        <v>0.34426229508196721</v>
      </c>
      <c r="Z11" t="s">
        <v>7</v>
      </c>
      <c r="AA11" s="5">
        <v>119</v>
      </c>
      <c r="AB11" s="5">
        <v>139</v>
      </c>
      <c r="AC11" s="4">
        <f t="shared" si="5"/>
        <v>0.16806722689075632</v>
      </c>
    </row>
    <row r="12" spans="1:29" x14ac:dyDescent="0.25">
      <c r="A12" t="s">
        <v>8</v>
      </c>
      <c r="B12" s="5">
        <v>155</v>
      </c>
      <c r="C12" s="5">
        <v>141</v>
      </c>
      <c r="D12" s="4">
        <f t="shared" si="0"/>
        <v>-9.0322580645161285E-2</v>
      </c>
      <c r="F12" t="s">
        <v>8</v>
      </c>
      <c r="G12" s="5">
        <v>150</v>
      </c>
      <c r="H12" s="5">
        <v>148.495</v>
      </c>
      <c r="I12" s="4">
        <f t="shared" si="1"/>
        <v>-1.0033333333333304E-2</v>
      </c>
      <c r="K12" t="s">
        <v>8</v>
      </c>
      <c r="L12" s="5">
        <v>9</v>
      </c>
      <c r="M12" s="5">
        <v>10</v>
      </c>
      <c r="N12" s="4">
        <f t="shared" si="2"/>
        <v>0.1111111111111111</v>
      </c>
      <c r="P12" t="s">
        <v>8</v>
      </c>
      <c r="Q12" s="5">
        <v>10</v>
      </c>
      <c r="R12" s="5">
        <v>10.6</v>
      </c>
      <c r="S12" s="4">
        <f t="shared" si="3"/>
        <v>5.9999999999999963E-2</v>
      </c>
      <c r="U12" t="s">
        <v>8</v>
      </c>
      <c r="V12" s="5">
        <v>110</v>
      </c>
      <c r="W12" s="5">
        <v>131.435</v>
      </c>
      <c r="X12" s="4">
        <f t="shared" si="4"/>
        <v>0.19486363636363638</v>
      </c>
      <c r="Z12" t="s">
        <v>8</v>
      </c>
      <c r="AA12" s="5">
        <v>115</v>
      </c>
      <c r="AB12" s="5">
        <v>144.048</v>
      </c>
      <c r="AC12" s="4">
        <f t="shared" si="5"/>
        <v>0.25259130434782612</v>
      </c>
    </row>
    <row r="13" spans="1:29" x14ac:dyDescent="0.25">
      <c r="A13" t="s">
        <v>9</v>
      </c>
      <c r="B13" s="5">
        <v>159</v>
      </c>
      <c r="C13" s="5"/>
      <c r="D13" s="4"/>
      <c r="F13" t="s">
        <v>9</v>
      </c>
      <c r="G13" s="5">
        <v>152</v>
      </c>
      <c r="H13" s="5"/>
      <c r="I13" s="4"/>
      <c r="K13" t="s">
        <v>9</v>
      </c>
      <c r="L13" s="5">
        <v>11</v>
      </c>
      <c r="M13" s="5"/>
      <c r="N13" s="4"/>
      <c r="P13" t="s">
        <v>9</v>
      </c>
      <c r="Q13" s="5">
        <v>11</v>
      </c>
      <c r="R13" s="5"/>
      <c r="S13" s="4"/>
      <c r="U13" t="s">
        <v>9</v>
      </c>
      <c r="V13" s="5">
        <v>141</v>
      </c>
      <c r="W13" s="5"/>
      <c r="X13" s="4"/>
      <c r="Z13" t="s">
        <v>9</v>
      </c>
      <c r="AA13" s="5">
        <v>132</v>
      </c>
      <c r="AB13" s="5"/>
      <c r="AC13" s="4"/>
    </row>
    <row r="14" spans="1:29" x14ac:dyDescent="0.25">
      <c r="A14" t="s">
        <v>10</v>
      </c>
      <c r="B14" s="5">
        <v>170</v>
      </c>
      <c r="C14" s="5"/>
      <c r="D14" s="4"/>
      <c r="F14" t="s">
        <v>10</v>
      </c>
      <c r="G14" s="5">
        <v>167</v>
      </c>
      <c r="H14" s="5"/>
      <c r="I14" s="4"/>
      <c r="K14" t="s">
        <v>10</v>
      </c>
      <c r="L14" s="5">
        <v>9</v>
      </c>
      <c r="M14" s="5"/>
      <c r="N14" s="4"/>
      <c r="P14" t="s">
        <v>10</v>
      </c>
      <c r="Q14" s="5">
        <v>9</v>
      </c>
      <c r="R14" s="5"/>
      <c r="S14" s="4"/>
      <c r="U14" t="s">
        <v>10</v>
      </c>
      <c r="V14" s="5">
        <v>133</v>
      </c>
      <c r="W14" s="5"/>
      <c r="X14" s="4"/>
      <c r="Z14" t="s">
        <v>10</v>
      </c>
      <c r="AA14" s="5">
        <v>138</v>
      </c>
      <c r="AB14" s="5"/>
      <c r="AC14" s="4"/>
    </row>
    <row r="15" spans="1:29" x14ac:dyDescent="0.25">
      <c r="A15" t="s">
        <v>11</v>
      </c>
      <c r="B15" s="5">
        <v>168</v>
      </c>
      <c r="C15" s="5"/>
      <c r="D15" s="4"/>
      <c r="F15" t="s">
        <v>11</v>
      </c>
      <c r="G15" s="5">
        <v>178</v>
      </c>
      <c r="H15" s="5"/>
      <c r="I15" s="4"/>
      <c r="K15" t="s">
        <v>11</v>
      </c>
      <c r="L15" s="5">
        <v>10</v>
      </c>
      <c r="M15" s="5"/>
      <c r="N15" s="4"/>
      <c r="P15" t="s">
        <v>11</v>
      </c>
      <c r="Q15" s="5">
        <v>9</v>
      </c>
      <c r="R15" s="5"/>
      <c r="S15" s="4"/>
      <c r="U15" t="s">
        <v>11</v>
      </c>
      <c r="V15" s="5">
        <v>150</v>
      </c>
      <c r="W15" s="5"/>
      <c r="X15" s="4"/>
      <c r="Z15" t="s">
        <v>11</v>
      </c>
      <c r="AA15" s="5">
        <v>153</v>
      </c>
      <c r="AB15" s="5"/>
      <c r="AC15" s="4"/>
    </row>
    <row r="18" spans="1:29" ht="13" x14ac:dyDescent="0.25">
      <c r="D18" s="8"/>
      <c r="E18" s="8"/>
      <c r="H18" s="8"/>
      <c r="I18" s="8"/>
      <c r="J18" s="1"/>
    </row>
    <row r="20" spans="1:29" ht="13" x14ac:dyDescent="0.3">
      <c r="A20" s="2" t="s">
        <v>35</v>
      </c>
    </row>
    <row r="21" spans="1:29" ht="13" x14ac:dyDescent="0.3">
      <c r="A21" s="2" t="s">
        <v>15</v>
      </c>
      <c r="F21" s="2" t="s">
        <v>16</v>
      </c>
      <c r="K21" s="2" t="s">
        <v>17</v>
      </c>
      <c r="P21" s="2" t="s">
        <v>18</v>
      </c>
    </row>
    <row r="22" spans="1:29" ht="13" x14ac:dyDescent="0.3">
      <c r="B22" s="3" t="s">
        <v>43</v>
      </c>
      <c r="C22" s="3" t="s">
        <v>48</v>
      </c>
      <c r="D22" s="3" t="s">
        <v>12</v>
      </c>
      <c r="G22" s="3" t="s">
        <v>43</v>
      </c>
      <c r="H22" s="3" t="s">
        <v>48</v>
      </c>
      <c r="I22" s="3" t="s">
        <v>12</v>
      </c>
      <c r="L22" s="3" t="s">
        <v>43</v>
      </c>
      <c r="M22" s="3" t="s">
        <v>48</v>
      </c>
      <c r="N22" s="3" t="s">
        <v>12</v>
      </c>
      <c r="Q22" s="3" t="s">
        <v>43</v>
      </c>
      <c r="R22" s="3" t="s">
        <v>48</v>
      </c>
      <c r="S22" s="3" t="s">
        <v>12</v>
      </c>
    </row>
    <row r="23" spans="1:29" x14ac:dyDescent="0.25">
      <c r="A23" t="s">
        <v>44</v>
      </c>
      <c r="B23" s="5">
        <v>42</v>
      </c>
      <c r="C23" s="5">
        <v>89</v>
      </c>
      <c r="D23" s="4">
        <f t="shared" ref="D23:D26" si="6">(C23-B23)/B23</f>
        <v>1.1190476190476191</v>
      </c>
      <c r="F23" t="s">
        <v>44</v>
      </c>
      <c r="G23" s="5">
        <v>29</v>
      </c>
      <c r="H23" s="5">
        <v>76</v>
      </c>
      <c r="I23" s="4">
        <f t="shared" ref="I23:I26" si="7">(H23-G23)/G23</f>
        <v>1.6206896551724137</v>
      </c>
      <c r="K23" t="s">
        <v>44</v>
      </c>
      <c r="L23" s="5">
        <v>95</v>
      </c>
      <c r="M23" s="5">
        <v>168</v>
      </c>
      <c r="N23" s="4">
        <f t="shared" ref="N23:N26" si="8">(M23-L23)/L23</f>
        <v>0.76842105263157889</v>
      </c>
      <c r="P23" t="s">
        <v>44</v>
      </c>
      <c r="Q23" s="5">
        <v>77</v>
      </c>
      <c r="R23" s="5">
        <v>149</v>
      </c>
      <c r="S23" s="4">
        <f t="shared" ref="S23:S26" si="9">(R23-Q23)/Q23</f>
        <v>0.93506493506493504</v>
      </c>
    </row>
    <row r="24" spans="1:29" x14ac:dyDescent="0.25">
      <c r="A24" t="s">
        <v>45</v>
      </c>
      <c r="B24" s="5">
        <v>99</v>
      </c>
      <c r="C24" s="5">
        <v>171</v>
      </c>
      <c r="D24" s="4">
        <f t="shared" si="6"/>
        <v>0.72727272727272729</v>
      </c>
      <c r="F24" t="s">
        <v>45</v>
      </c>
      <c r="G24" s="5">
        <v>96</v>
      </c>
      <c r="H24" s="5">
        <v>167</v>
      </c>
      <c r="I24" s="4">
        <f t="shared" si="7"/>
        <v>0.73958333333333337</v>
      </c>
      <c r="K24" t="s">
        <v>45</v>
      </c>
      <c r="L24" s="5">
        <v>223</v>
      </c>
      <c r="M24" s="5">
        <v>337</v>
      </c>
      <c r="N24" s="4">
        <f t="shared" si="8"/>
        <v>0.5112107623318386</v>
      </c>
      <c r="P24" t="s">
        <v>45</v>
      </c>
      <c r="Q24" s="5">
        <v>215</v>
      </c>
      <c r="R24" s="5">
        <v>331</v>
      </c>
      <c r="S24" s="4">
        <f t="shared" si="9"/>
        <v>0.53953488372093028</v>
      </c>
    </row>
    <row r="25" spans="1:29" x14ac:dyDescent="0.25">
      <c r="A25" t="s">
        <v>46</v>
      </c>
      <c r="B25" s="5">
        <v>173</v>
      </c>
      <c r="C25" s="5">
        <v>262.58800000000002</v>
      </c>
      <c r="D25" s="4">
        <f t="shared" si="6"/>
        <v>0.51784971098265908</v>
      </c>
      <c r="F25" t="s">
        <v>46</v>
      </c>
      <c r="G25" s="5">
        <v>169</v>
      </c>
      <c r="H25" s="5">
        <v>258.04599999999999</v>
      </c>
      <c r="I25" s="4">
        <f t="shared" si="7"/>
        <v>0.5268994082840236</v>
      </c>
      <c r="K25" t="s">
        <v>46</v>
      </c>
      <c r="L25" s="5">
        <v>359</v>
      </c>
      <c r="M25" s="5">
        <v>482.52800000000002</v>
      </c>
      <c r="N25" s="4">
        <f t="shared" si="8"/>
        <v>0.34408913649025075</v>
      </c>
      <c r="P25" t="s">
        <v>46</v>
      </c>
      <c r="Q25" s="5">
        <v>363</v>
      </c>
      <c r="R25" s="5">
        <v>486.214</v>
      </c>
      <c r="S25" s="4">
        <f t="shared" si="9"/>
        <v>0.33943250688705234</v>
      </c>
    </row>
    <row r="26" spans="1:29" x14ac:dyDescent="0.25">
      <c r="A26" t="s">
        <v>47</v>
      </c>
      <c r="B26" s="5">
        <v>272</v>
      </c>
      <c r="C26" s="5"/>
      <c r="D26" s="4"/>
      <c r="F26" t="s">
        <v>47</v>
      </c>
      <c r="G26" s="5">
        <v>273</v>
      </c>
      <c r="H26" s="5"/>
      <c r="I26" s="4"/>
      <c r="K26" t="s">
        <v>47</v>
      </c>
      <c r="L26" s="5">
        <v>533</v>
      </c>
      <c r="M26" s="5"/>
      <c r="N26" s="4"/>
      <c r="P26" t="s">
        <v>47</v>
      </c>
      <c r="Q26" s="5">
        <v>536</v>
      </c>
      <c r="R26" s="5"/>
      <c r="S26" s="4"/>
    </row>
    <row r="27" spans="1:29" x14ac:dyDescent="0.25">
      <c r="B27" s="5"/>
      <c r="C27" s="5"/>
    </row>
    <row r="29" spans="1:29" ht="13" x14ac:dyDescent="0.3">
      <c r="A29" s="2" t="s">
        <v>34</v>
      </c>
    </row>
    <row r="30" spans="1:29" ht="13" x14ac:dyDescent="0.3">
      <c r="A30" s="2" t="s">
        <v>19</v>
      </c>
      <c r="F30" s="2" t="s">
        <v>20</v>
      </c>
      <c r="K30" s="2" t="s">
        <v>21</v>
      </c>
      <c r="P30" s="2" t="s">
        <v>22</v>
      </c>
      <c r="U30" s="2" t="s">
        <v>24</v>
      </c>
      <c r="Z30" s="2" t="s">
        <v>23</v>
      </c>
    </row>
    <row r="31" spans="1:29" ht="13" x14ac:dyDescent="0.3">
      <c r="B31" s="3" t="s">
        <v>43</v>
      </c>
      <c r="C31" s="3" t="s">
        <v>48</v>
      </c>
      <c r="D31" s="3" t="s">
        <v>12</v>
      </c>
      <c r="G31" s="3" t="s">
        <v>43</v>
      </c>
      <c r="H31" s="3" t="s">
        <v>48</v>
      </c>
      <c r="I31" s="3" t="s">
        <v>12</v>
      </c>
      <c r="L31" s="3" t="s">
        <v>43</v>
      </c>
      <c r="M31" s="3" t="s">
        <v>48</v>
      </c>
      <c r="N31" s="3" t="s">
        <v>12</v>
      </c>
      <c r="Q31" s="3" t="s">
        <v>43</v>
      </c>
      <c r="R31" s="3" t="s">
        <v>48</v>
      </c>
      <c r="S31" s="3" t="s">
        <v>12</v>
      </c>
      <c r="V31" s="3" t="s">
        <v>43</v>
      </c>
      <c r="W31" s="3" t="s">
        <v>48</v>
      </c>
      <c r="X31" s="3" t="s">
        <v>12</v>
      </c>
      <c r="AA31" s="3" t="s">
        <v>43</v>
      </c>
      <c r="AB31" s="3" t="s">
        <v>48</v>
      </c>
      <c r="AC31" s="3" t="s">
        <v>12</v>
      </c>
    </row>
    <row r="32" spans="1:29" x14ac:dyDescent="0.25">
      <c r="A32" t="s">
        <v>0</v>
      </c>
      <c r="B32" s="5">
        <v>368</v>
      </c>
      <c r="C32" s="5">
        <v>395</v>
      </c>
      <c r="D32" s="4">
        <f t="shared" ref="D32:D40" si="10">(C32-B32)/B32</f>
        <v>7.3369565217391311E-2</v>
      </c>
      <c r="F32" t="s">
        <v>0</v>
      </c>
      <c r="G32" s="5">
        <v>341</v>
      </c>
      <c r="H32" s="5">
        <v>411</v>
      </c>
      <c r="I32" s="4">
        <f t="shared" ref="I32:I40" si="11">(H32-G32)/G32</f>
        <v>0.20527859237536658</v>
      </c>
      <c r="K32" t="s">
        <v>0</v>
      </c>
      <c r="L32" s="5">
        <v>1099</v>
      </c>
      <c r="M32" s="5">
        <v>1086</v>
      </c>
      <c r="N32" s="4">
        <f t="shared" ref="N32:N40" si="12">(M32-L32)/L32</f>
        <v>-1.1828935395814377E-2</v>
      </c>
      <c r="P32" t="s">
        <v>0</v>
      </c>
      <c r="Q32" s="5">
        <v>1057</v>
      </c>
      <c r="R32" s="5">
        <v>1105</v>
      </c>
      <c r="S32" s="4">
        <f t="shared" ref="S32:S40" si="13">(R32-Q32)/Q32</f>
        <v>4.5411542100283822E-2</v>
      </c>
      <c r="U32" t="s">
        <v>0</v>
      </c>
      <c r="V32" s="5">
        <v>39</v>
      </c>
      <c r="W32" s="5">
        <v>36</v>
      </c>
      <c r="X32" s="4">
        <f t="shared" ref="X32:X43" si="14">(W32-V32)/V32</f>
        <v>-7.6923076923076927E-2</v>
      </c>
      <c r="Z32" t="s">
        <v>0</v>
      </c>
      <c r="AA32" s="5">
        <v>28</v>
      </c>
      <c r="AB32" s="5">
        <v>39</v>
      </c>
      <c r="AC32" s="4">
        <f t="shared" ref="AC32:AC40" si="15">(AB32-AA32)/AA32</f>
        <v>0.39285714285714285</v>
      </c>
    </row>
    <row r="33" spans="1:29" x14ac:dyDescent="0.25">
      <c r="A33" t="s">
        <v>1</v>
      </c>
      <c r="B33" s="5">
        <v>82</v>
      </c>
      <c r="C33" s="5">
        <v>417</v>
      </c>
      <c r="D33" s="4">
        <f t="shared" si="10"/>
        <v>4.0853658536585362</v>
      </c>
      <c r="F33" t="s">
        <v>1</v>
      </c>
      <c r="G33" s="5">
        <v>79</v>
      </c>
      <c r="H33" s="5">
        <v>425</v>
      </c>
      <c r="I33" s="4">
        <f t="shared" si="11"/>
        <v>4.3797468354430382</v>
      </c>
      <c r="K33" t="s">
        <v>1</v>
      </c>
      <c r="L33" s="5">
        <v>547</v>
      </c>
      <c r="M33" s="5">
        <v>1155</v>
      </c>
      <c r="N33" s="4">
        <f t="shared" si="12"/>
        <v>1.1115173674588665</v>
      </c>
      <c r="P33" t="s">
        <v>1</v>
      </c>
      <c r="Q33" s="5">
        <v>625</v>
      </c>
      <c r="R33" s="5">
        <v>1141</v>
      </c>
      <c r="S33" s="4">
        <f t="shared" si="13"/>
        <v>0.8256</v>
      </c>
      <c r="U33" t="s">
        <v>1</v>
      </c>
      <c r="V33" s="5">
        <v>5</v>
      </c>
      <c r="W33" s="5">
        <v>37</v>
      </c>
      <c r="X33" s="4">
        <f t="shared" si="14"/>
        <v>6.4</v>
      </c>
      <c r="Z33" t="s">
        <v>1</v>
      </c>
      <c r="AA33" s="5">
        <v>10</v>
      </c>
      <c r="AB33" s="5">
        <v>35</v>
      </c>
      <c r="AC33" s="4">
        <f t="shared" si="15"/>
        <v>2.5</v>
      </c>
    </row>
    <row r="34" spans="1:29" x14ac:dyDescent="0.25">
      <c r="A34" t="s">
        <v>2</v>
      </c>
      <c r="B34" s="5">
        <v>253</v>
      </c>
      <c r="C34" s="5">
        <v>450</v>
      </c>
      <c r="D34" s="4">
        <f t="shared" si="10"/>
        <v>0.77865612648221338</v>
      </c>
      <c r="F34" t="s">
        <v>2</v>
      </c>
      <c r="G34" s="5">
        <v>271</v>
      </c>
      <c r="H34" s="5">
        <v>455</v>
      </c>
      <c r="I34" s="4">
        <f t="shared" si="11"/>
        <v>0.6789667896678967</v>
      </c>
      <c r="K34" t="s">
        <v>2</v>
      </c>
      <c r="L34" s="5">
        <v>1077</v>
      </c>
      <c r="M34" s="5">
        <v>1211</v>
      </c>
      <c r="N34" s="4">
        <f t="shared" si="12"/>
        <v>0.12441968430826369</v>
      </c>
      <c r="P34" t="s">
        <v>2</v>
      </c>
      <c r="Q34" s="5">
        <v>1099</v>
      </c>
      <c r="R34" s="5">
        <v>1212</v>
      </c>
      <c r="S34" s="4">
        <f t="shared" si="13"/>
        <v>0.10282074613284804</v>
      </c>
      <c r="U34" t="s">
        <v>2</v>
      </c>
      <c r="V34" s="5">
        <v>20</v>
      </c>
      <c r="W34" s="5">
        <v>34</v>
      </c>
      <c r="X34" s="4">
        <f t="shared" si="14"/>
        <v>0.7</v>
      </c>
      <c r="Z34" t="s">
        <v>2</v>
      </c>
      <c r="AA34" s="5">
        <v>37</v>
      </c>
      <c r="AB34" s="5">
        <v>38</v>
      </c>
      <c r="AC34" s="4">
        <f t="shared" si="15"/>
        <v>2.7027027027027029E-2</v>
      </c>
    </row>
    <row r="35" spans="1:29" x14ac:dyDescent="0.25">
      <c r="A35" t="s">
        <v>3</v>
      </c>
      <c r="B35" s="5">
        <v>431</v>
      </c>
      <c r="C35" s="5">
        <v>552</v>
      </c>
      <c r="D35" s="4">
        <f t="shared" si="10"/>
        <v>0.28074245939675174</v>
      </c>
      <c r="F35" t="s">
        <v>3</v>
      </c>
      <c r="G35" s="5">
        <v>407</v>
      </c>
      <c r="H35" s="5">
        <v>530</v>
      </c>
      <c r="I35" s="4">
        <f t="shared" si="11"/>
        <v>0.30221130221130221</v>
      </c>
      <c r="K35" t="s">
        <v>3</v>
      </c>
      <c r="L35" s="5">
        <v>1223</v>
      </c>
      <c r="M35" s="5">
        <v>1183</v>
      </c>
      <c r="N35" s="4">
        <f t="shared" si="12"/>
        <v>-3.2706459525756335E-2</v>
      </c>
      <c r="P35" t="s">
        <v>3</v>
      </c>
      <c r="Q35" s="5">
        <v>1180</v>
      </c>
      <c r="R35" s="5">
        <v>1176</v>
      </c>
      <c r="S35" s="4">
        <f t="shared" si="13"/>
        <v>-3.3898305084745762E-3</v>
      </c>
      <c r="U35" t="s">
        <v>3</v>
      </c>
      <c r="V35" s="5">
        <v>53</v>
      </c>
      <c r="W35" s="5">
        <v>35</v>
      </c>
      <c r="X35" s="4">
        <f t="shared" si="14"/>
        <v>-0.33962264150943394</v>
      </c>
      <c r="Z35" t="s">
        <v>3</v>
      </c>
      <c r="AA35" s="5">
        <v>50</v>
      </c>
      <c r="AB35" s="5">
        <v>33</v>
      </c>
      <c r="AC35" s="4">
        <f t="shared" si="15"/>
        <v>-0.34</v>
      </c>
    </row>
    <row r="36" spans="1:29" x14ac:dyDescent="0.25">
      <c r="A36" t="s">
        <v>4</v>
      </c>
      <c r="B36" s="5">
        <v>498</v>
      </c>
      <c r="C36" s="5">
        <v>553</v>
      </c>
      <c r="D36" s="4">
        <f t="shared" si="10"/>
        <v>0.11044176706827309</v>
      </c>
      <c r="F36" t="s">
        <v>4</v>
      </c>
      <c r="G36" s="5">
        <v>495</v>
      </c>
      <c r="H36" s="5">
        <v>550</v>
      </c>
      <c r="I36" s="4">
        <f t="shared" si="11"/>
        <v>0.1111111111111111</v>
      </c>
      <c r="K36" t="s">
        <v>4</v>
      </c>
      <c r="L36" s="5">
        <v>1112</v>
      </c>
      <c r="M36" s="5">
        <v>1271</v>
      </c>
      <c r="N36" s="4">
        <f t="shared" si="12"/>
        <v>0.14298561151079137</v>
      </c>
      <c r="P36" t="s">
        <v>4</v>
      </c>
      <c r="Q36" s="5">
        <v>1163</v>
      </c>
      <c r="R36" s="5">
        <v>1275</v>
      </c>
      <c r="S36" s="4">
        <f t="shared" si="13"/>
        <v>9.630266552020636E-2</v>
      </c>
      <c r="U36" t="s">
        <v>4</v>
      </c>
      <c r="V36" s="5">
        <v>58</v>
      </c>
      <c r="W36" s="5">
        <v>37</v>
      </c>
      <c r="X36" s="4">
        <f t="shared" si="14"/>
        <v>-0.36206896551724138</v>
      </c>
      <c r="Z36" t="s">
        <v>4</v>
      </c>
      <c r="AA36" s="5">
        <v>53</v>
      </c>
      <c r="AB36" s="5">
        <v>37</v>
      </c>
      <c r="AC36" s="4">
        <f t="shared" si="15"/>
        <v>-0.30188679245283018</v>
      </c>
    </row>
    <row r="37" spans="1:29" x14ac:dyDescent="0.25">
      <c r="A37" t="s">
        <v>5</v>
      </c>
      <c r="B37" s="5">
        <v>565</v>
      </c>
      <c r="C37" s="5">
        <v>601</v>
      </c>
      <c r="D37" s="4">
        <f t="shared" si="10"/>
        <v>6.3716814159292035E-2</v>
      </c>
      <c r="F37" t="s">
        <v>5</v>
      </c>
      <c r="G37" s="5">
        <v>544</v>
      </c>
      <c r="H37" s="5">
        <v>608</v>
      </c>
      <c r="I37" s="4">
        <f t="shared" si="11"/>
        <v>0.11764705882352941</v>
      </c>
      <c r="K37" t="s">
        <v>5</v>
      </c>
      <c r="L37" s="5">
        <v>1239</v>
      </c>
      <c r="M37" s="5">
        <v>1375</v>
      </c>
      <c r="N37" s="4">
        <f t="shared" si="12"/>
        <v>0.10976594027441484</v>
      </c>
      <c r="P37" t="s">
        <v>5</v>
      </c>
      <c r="Q37" s="5">
        <v>1279</v>
      </c>
      <c r="R37" s="5">
        <v>1375</v>
      </c>
      <c r="S37" s="4">
        <f t="shared" si="13"/>
        <v>7.5058639562157942E-2</v>
      </c>
      <c r="U37" t="s">
        <v>5</v>
      </c>
      <c r="V37" s="5">
        <v>65</v>
      </c>
      <c r="W37" s="5">
        <v>43</v>
      </c>
      <c r="X37" s="4">
        <f t="shared" si="14"/>
        <v>-0.33846153846153848</v>
      </c>
      <c r="Z37" t="s">
        <v>5</v>
      </c>
      <c r="AA37" s="5">
        <v>62</v>
      </c>
      <c r="AB37" s="5">
        <v>48</v>
      </c>
      <c r="AC37" s="4">
        <f t="shared" si="15"/>
        <v>-0.22580645161290322</v>
      </c>
    </row>
    <row r="38" spans="1:29" x14ac:dyDescent="0.25">
      <c r="A38" t="s">
        <v>6</v>
      </c>
      <c r="B38" s="12">
        <v>481</v>
      </c>
      <c r="C38" s="5">
        <v>514</v>
      </c>
      <c r="D38" s="4">
        <f t="shared" si="10"/>
        <v>6.8607068607068611E-2</v>
      </c>
      <c r="F38" t="s">
        <v>6</v>
      </c>
      <c r="G38" s="12">
        <v>518</v>
      </c>
      <c r="H38" s="5">
        <v>542</v>
      </c>
      <c r="I38" s="4">
        <f t="shared" si="11"/>
        <v>4.633204633204633E-2</v>
      </c>
      <c r="K38" t="s">
        <v>6</v>
      </c>
      <c r="L38" s="5">
        <v>1349</v>
      </c>
      <c r="M38" s="5">
        <v>1218</v>
      </c>
      <c r="N38" s="4">
        <f t="shared" si="12"/>
        <v>-9.7108969607116388E-2</v>
      </c>
      <c r="P38" t="s">
        <v>6</v>
      </c>
      <c r="Q38" s="5">
        <v>1353</v>
      </c>
      <c r="R38" s="5">
        <v>1277</v>
      </c>
      <c r="S38" s="4">
        <f t="shared" si="13"/>
        <v>-5.6171470805617151E-2</v>
      </c>
      <c r="U38" t="s">
        <v>6</v>
      </c>
      <c r="V38" s="5">
        <v>64</v>
      </c>
      <c r="W38" s="5">
        <v>41</v>
      </c>
      <c r="X38" s="4">
        <f t="shared" si="14"/>
        <v>-0.359375</v>
      </c>
      <c r="Z38" t="s">
        <v>6</v>
      </c>
      <c r="AA38" s="5">
        <v>56</v>
      </c>
      <c r="AB38" s="5">
        <v>45</v>
      </c>
      <c r="AC38" s="4">
        <f t="shared" si="15"/>
        <v>-0.19642857142857142</v>
      </c>
    </row>
    <row r="39" spans="1:29" x14ac:dyDescent="0.25">
      <c r="A39" t="s">
        <v>7</v>
      </c>
      <c r="B39" s="5">
        <v>325</v>
      </c>
      <c r="C39" s="5">
        <v>492</v>
      </c>
      <c r="D39" s="4">
        <f t="shared" si="10"/>
        <v>0.51384615384615384</v>
      </c>
      <c r="F39" t="s">
        <v>7</v>
      </c>
      <c r="G39" s="5">
        <v>331</v>
      </c>
      <c r="H39" s="5">
        <v>438</v>
      </c>
      <c r="I39" s="4">
        <f t="shared" si="11"/>
        <v>0.32326283987915405</v>
      </c>
      <c r="K39" t="s">
        <v>7</v>
      </c>
      <c r="L39" s="5">
        <v>1012</v>
      </c>
      <c r="M39" s="5">
        <v>1087</v>
      </c>
      <c r="N39" s="4">
        <f t="shared" si="12"/>
        <v>7.4110671936758896E-2</v>
      </c>
      <c r="P39" t="s">
        <v>7</v>
      </c>
      <c r="Q39" s="5">
        <v>1032</v>
      </c>
      <c r="R39" s="5">
        <v>1049</v>
      </c>
      <c r="S39" s="4">
        <f t="shared" si="13"/>
        <v>1.6472868217054265E-2</v>
      </c>
      <c r="U39" t="s">
        <v>7</v>
      </c>
      <c r="V39" s="5">
        <v>29</v>
      </c>
      <c r="W39" s="5">
        <v>40</v>
      </c>
      <c r="X39" s="4">
        <f t="shared" si="14"/>
        <v>0.37931034482758619</v>
      </c>
      <c r="Z39" t="s">
        <v>7</v>
      </c>
      <c r="AA39" s="5">
        <v>43</v>
      </c>
      <c r="AB39" s="5">
        <v>35</v>
      </c>
      <c r="AC39" s="4">
        <f t="shared" si="15"/>
        <v>-0.18604651162790697</v>
      </c>
    </row>
    <row r="40" spans="1:29" x14ac:dyDescent="0.25">
      <c r="A40" t="s">
        <v>8</v>
      </c>
      <c r="B40" s="5">
        <v>243</v>
      </c>
      <c r="C40" s="5">
        <v>278.96199999999999</v>
      </c>
      <c r="D40" s="4">
        <f t="shared" si="10"/>
        <v>0.14799176954732507</v>
      </c>
      <c r="F40" t="s">
        <v>8</v>
      </c>
      <c r="G40" s="5">
        <v>277.68799999999999</v>
      </c>
      <c r="H40" s="5">
        <v>322.64400000000001</v>
      </c>
      <c r="I40" s="4">
        <f t="shared" si="11"/>
        <v>0.16189392411627446</v>
      </c>
      <c r="K40" t="s">
        <v>8</v>
      </c>
      <c r="L40" s="5">
        <v>1029</v>
      </c>
      <c r="M40" s="5">
        <v>909.69399999999996</v>
      </c>
      <c r="N40" s="4">
        <f t="shared" si="12"/>
        <v>-0.11594363459669586</v>
      </c>
      <c r="P40" t="s">
        <v>8</v>
      </c>
      <c r="Q40" s="5">
        <v>1069</v>
      </c>
      <c r="R40" s="5">
        <v>968.37</v>
      </c>
      <c r="S40" s="4">
        <f t="shared" si="13"/>
        <v>-9.4134705332086052E-2</v>
      </c>
      <c r="U40" t="s">
        <v>8</v>
      </c>
      <c r="V40" s="5">
        <v>25</v>
      </c>
      <c r="W40" s="5">
        <v>21.934000000000001</v>
      </c>
      <c r="X40" s="4">
        <f t="shared" si="14"/>
        <v>-0.12263999999999996</v>
      </c>
      <c r="Z40" t="s">
        <v>8</v>
      </c>
      <c r="AA40" s="5">
        <v>34</v>
      </c>
      <c r="AB40" s="5">
        <v>26.195</v>
      </c>
      <c r="AC40" s="4">
        <f t="shared" si="15"/>
        <v>-0.22955882352941176</v>
      </c>
    </row>
    <row r="41" spans="1:29" x14ac:dyDescent="0.25">
      <c r="A41" t="s">
        <v>9</v>
      </c>
      <c r="B41" s="5">
        <v>371</v>
      </c>
      <c r="C41" s="5"/>
      <c r="D41" s="4"/>
      <c r="F41" t="s">
        <v>9</v>
      </c>
      <c r="G41" s="5">
        <v>382</v>
      </c>
      <c r="H41" s="5"/>
      <c r="I41" s="4"/>
      <c r="K41" t="s">
        <v>9</v>
      </c>
      <c r="L41" s="5">
        <v>1069</v>
      </c>
      <c r="M41" s="5"/>
      <c r="N41" s="4"/>
      <c r="P41" t="s">
        <v>9</v>
      </c>
      <c r="Q41" s="5">
        <v>1085</v>
      </c>
      <c r="R41" s="5"/>
      <c r="S41" s="4"/>
      <c r="U41" t="s">
        <v>9</v>
      </c>
      <c r="V41" s="5">
        <v>42</v>
      </c>
      <c r="W41" s="5"/>
      <c r="X41" s="4"/>
      <c r="Z41" t="s">
        <v>9</v>
      </c>
      <c r="AA41" s="5">
        <v>36</v>
      </c>
      <c r="AB41" s="5"/>
      <c r="AC41" s="9"/>
    </row>
    <row r="42" spans="1:29" x14ac:dyDescent="0.25">
      <c r="A42" t="s">
        <v>10</v>
      </c>
      <c r="B42" s="5">
        <v>382</v>
      </c>
      <c r="C42" s="5"/>
      <c r="D42" s="4"/>
      <c r="F42" t="s">
        <v>10</v>
      </c>
      <c r="G42" s="5">
        <v>369</v>
      </c>
      <c r="H42" s="5"/>
      <c r="I42" s="4"/>
      <c r="K42" t="s">
        <v>10</v>
      </c>
      <c r="L42" s="5">
        <v>998</v>
      </c>
      <c r="M42" s="5"/>
      <c r="N42" s="4"/>
      <c r="P42" t="s">
        <v>10</v>
      </c>
      <c r="Q42" s="5">
        <v>1007</v>
      </c>
      <c r="R42" s="5"/>
      <c r="S42" s="4"/>
      <c r="U42" t="s">
        <v>10</v>
      </c>
      <c r="V42" s="5">
        <v>38</v>
      </c>
      <c r="W42" s="5"/>
      <c r="X42" s="4"/>
      <c r="Z42" t="s">
        <v>10</v>
      </c>
      <c r="AA42" s="5">
        <v>37</v>
      </c>
      <c r="AB42" s="5"/>
      <c r="AC42" s="9"/>
    </row>
    <row r="43" spans="1:29" x14ac:dyDescent="0.25">
      <c r="A43" t="s">
        <v>11</v>
      </c>
      <c r="B43" s="5">
        <v>391</v>
      </c>
      <c r="C43" s="5"/>
      <c r="D43" s="4"/>
      <c r="F43" t="s">
        <v>11</v>
      </c>
      <c r="G43" s="5">
        <v>382</v>
      </c>
      <c r="H43" s="5"/>
      <c r="I43" s="4"/>
      <c r="K43" t="s">
        <v>11</v>
      </c>
      <c r="L43" s="5">
        <v>1135</v>
      </c>
      <c r="M43" s="5"/>
      <c r="N43" s="4"/>
      <c r="P43" t="s">
        <v>11</v>
      </c>
      <c r="Q43" s="5">
        <v>1116</v>
      </c>
      <c r="R43" s="5"/>
      <c r="S43" s="4"/>
      <c r="U43" t="s">
        <v>11</v>
      </c>
      <c r="V43" s="5">
        <v>35</v>
      </c>
      <c r="W43" s="5"/>
      <c r="X43" s="4"/>
      <c r="Z43" t="s">
        <v>11</v>
      </c>
      <c r="AA43" s="5">
        <v>38</v>
      </c>
      <c r="AB43" s="5"/>
      <c r="AC43" s="9"/>
    </row>
    <row r="46" spans="1:29" ht="13" x14ac:dyDescent="0.3">
      <c r="A46" s="2" t="s">
        <v>33</v>
      </c>
    </row>
    <row r="47" spans="1:29" ht="13" x14ac:dyDescent="0.3">
      <c r="A47" s="2" t="s">
        <v>25</v>
      </c>
      <c r="F47" s="2" t="s">
        <v>26</v>
      </c>
    </row>
    <row r="48" spans="1:29" ht="13" x14ac:dyDescent="0.3">
      <c r="B48" s="3" t="s">
        <v>43</v>
      </c>
      <c r="C48" s="3" t="s">
        <v>48</v>
      </c>
      <c r="D48" s="3" t="s">
        <v>12</v>
      </c>
      <c r="G48" s="3" t="s">
        <v>43</v>
      </c>
      <c r="H48" s="3" t="s">
        <v>48</v>
      </c>
      <c r="I48" s="3" t="s">
        <v>12</v>
      </c>
    </row>
    <row r="49" spans="1:9" x14ac:dyDescent="0.25">
      <c r="A49" t="s">
        <v>0</v>
      </c>
      <c r="B49" s="5">
        <v>64</v>
      </c>
      <c r="C49" s="5">
        <v>50</v>
      </c>
      <c r="D49" s="4">
        <f t="shared" ref="D49:D57" si="16">(C49-B49)/B49</f>
        <v>-0.21875</v>
      </c>
      <c r="F49" t="s">
        <v>0</v>
      </c>
      <c r="G49" s="5">
        <v>60</v>
      </c>
      <c r="H49" s="5">
        <v>57</v>
      </c>
      <c r="I49" s="4">
        <f t="shared" ref="I49:I57" si="17">(H49-G49)/G49</f>
        <v>-0.05</v>
      </c>
    </row>
    <row r="50" spans="1:9" x14ac:dyDescent="0.25">
      <c r="A50" t="s">
        <v>1</v>
      </c>
      <c r="B50" s="5">
        <v>47</v>
      </c>
      <c r="C50" s="5">
        <v>60</v>
      </c>
      <c r="D50" s="4">
        <f t="shared" si="16"/>
        <v>0.27659574468085107</v>
      </c>
      <c r="F50" t="s">
        <v>1</v>
      </c>
      <c r="G50" s="5">
        <v>46</v>
      </c>
      <c r="H50" s="5">
        <v>56</v>
      </c>
      <c r="I50" s="4">
        <f t="shared" si="17"/>
        <v>0.21739130434782608</v>
      </c>
    </row>
    <row r="51" spans="1:9" x14ac:dyDescent="0.25">
      <c r="A51" t="s">
        <v>2</v>
      </c>
      <c r="B51" s="5">
        <v>52</v>
      </c>
      <c r="C51" s="5">
        <v>62</v>
      </c>
      <c r="D51" s="4">
        <f t="shared" si="16"/>
        <v>0.19230769230769232</v>
      </c>
      <c r="F51" t="s">
        <v>2</v>
      </c>
      <c r="G51" s="5">
        <v>56</v>
      </c>
      <c r="H51" s="5">
        <v>61</v>
      </c>
      <c r="I51" s="4">
        <f t="shared" si="17"/>
        <v>8.9285714285714288E-2</v>
      </c>
    </row>
    <row r="52" spans="1:9" x14ac:dyDescent="0.25">
      <c r="A52" t="s">
        <v>3</v>
      </c>
      <c r="B52" s="5">
        <v>63</v>
      </c>
      <c r="C52" s="5">
        <v>68</v>
      </c>
      <c r="D52" s="4">
        <f t="shared" si="16"/>
        <v>7.9365079365079361E-2</v>
      </c>
      <c r="F52" t="s">
        <v>3</v>
      </c>
      <c r="G52" s="5">
        <v>63</v>
      </c>
      <c r="H52" s="5">
        <v>69</v>
      </c>
      <c r="I52" s="4">
        <f t="shared" si="17"/>
        <v>9.5238095238095233E-2</v>
      </c>
    </row>
    <row r="53" spans="1:9" x14ac:dyDescent="0.25">
      <c r="A53" t="s">
        <v>4</v>
      </c>
      <c r="B53" s="5">
        <v>60</v>
      </c>
      <c r="C53" s="5">
        <v>81</v>
      </c>
      <c r="D53" s="4">
        <f t="shared" si="16"/>
        <v>0.35</v>
      </c>
      <c r="F53" t="s">
        <v>4</v>
      </c>
      <c r="G53" s="5">
        <v>61</v>
      </c>
      <c r="H53" s="5">
        <v>83</v>
      </c>
      <c r="I53" s="4">
        <f t="shared" si="17"/>
        <v>0.36065573770491804</v>
      </c>
    </row>
    <row r="54" spans="1:9" x14ac:dyDescent="0.25">
      <c r="A54" t="s">
        <v>5</v>
      </c>
      <c r="B54" s="5">
        <v>67</v>
      </c>
      <c r="C54" s="5">
        <v>88</v>
      </c>
      <c r="D54" s="4">
        <f t="shared" si="16"/>
        <v>0.31343283582089554</v>
      </c>
      <c r="F54" t="s">
        <v>5</v>
      </c>
      <c r="G54" s="5">
        <v>68</v>
      </c>
      <c r="H54" s="5">
        <v>83</v>
      </c>
      <c r="I54" s="4">
        <f t="shared" si="17"/>
        <v>0.22058823529411764</v>
      </c>
    </row>
    <row r="55" spans="1:9" x14ac:dyDescent="0.25">
      <c r="A55" t="s">
        <v>6</v>
      </c>
      <c r="B55" s="5">
        <v>73</v>
      </c>
      <c r="C55" s="5">
        <v>86</v>
      </c>
      <c r="D55" s="4">
        <f t="shared" si="16"/>
        <v>0.17808219178082191</v>
      </c>
      <c r="F55" t="s">
        <v>6</v>
      </c>
      <c r="G55" s="5">
        <v>74</v>
      </c>
      <c r="H55" s="5">
        <v>88</v>
      </c>
      <c r="I55" s="4">
        <f t="shared" si="17"/>
        <v>0.1891891891891892</v>
      </c>
    </row>
    <row r="56" spans="1:9" x14ac:dyDescent="0.25">
      <c r="A56" t="s">
        <v>7</v>
      </c>
      <c r="B56" s="5">
        <v>61</v>
      </c>
      <c r="C56" s="5">
        <v>78</v>
      </c>
      <c r="D56" s="4">
        <f t="shared" si="16"/>
        <v>0.27868852459016391</v>
      </c>
      <c r="F56" t="s">
        <v>7</v>
      </c>
      <c r="G56" s="5">
        <v>65</v>
      </c>
      <c r="H56" s="5">
        <v>76</v>
      </c>
      <c r="I56" s="4">
        <f t="shared" si="17"/>
        <v>0.16923076923076924</v>
      </c>
    </row>
    <row r="57" spans="1:9" x14ac:dyDescent="0.25">
      <c r="A57" t="s">
        <v>8</v>
      </c>
      <c r="B57" s="5">
        <v>67</v>
      </c>
      <c r="C57" s="5">
        <v>63.37</v>
      </c>
      <c r="D57" s="4">
        <f t="shared" si="16"/>
        <v>-5.4179104477611977E-2</v>
      </c>
      <c r="F57" t="s">
        <v>8</v>
      </c>
      <c r="G57" s="5">
        <v>71</v>
      </c>
      <c r="H57" s="5">
        <v>64.918000000000006</v>
      </c>
      <c r="I57" s="4">
        <f t="shared" si="17"/>
        <v>-8.5661971830985825E-2</v>
      </c>
    </row>
    <row r="58" spans="1:9" x14ac:dyDescent="0.25">
      <c r="A58" t="s">
        <v>9</v>
      </c>
      <c r="B58" s="5">
        <v>68</v>
      </c>
      <c r="C58" s="5"/>
      <c r="D58" s="4"/>
      <c r="F58" t="s">
        <v>9</v>
      </c>
      <c r="G58" s="5">
        <v>63</v>
      </c>
      <c r="H58" s="5"/>
      <c r="I58" s="4"/>
    </row>
    <row r="59" spans="1:9" x14ac:dyDescent="0.25">
      <c r="A59" t="s">
        <v>10</v>
      </c>
      <c r="B59" s="5">
        <v>64</v>
      </c>
      <c r="C59" s="5"/>
      <c r="D59" s="4"/>
      <c r="F59" t="s">
        <v>10</v>
      </c>
      <c r="G59" s="5">
        <v>63</v>
      </c>
      <c r="H59" s="5"/>
      <c r="I59" s="4"/>
    </row>
    <row r="60" spans="1:9" x14ac:dyDescent="0.25">
      <c r="A60" t="s">
        <v>11</v>
      </c>
      <c r="B60" s="5">
        <v>72</v>
      </c>
      <c r="C60" s="5"/>
      <c r="D60" s="4"/>
      <c r="F60" t="s">
        <v>11</v>
      </c>
      <c r="G60" s="5">
        <v>71</v>
      </c>
      <c r="H60" s="5"/>
      <c r="I60" s="4"/>
    </row>
  </sheetData>
  <phoneticPr fontId="0" type="noConversion"/>
  <pageMargins left="0.75" right="0.75" top="1" bottom="1" header="0.5" footer="0.5"/>
  <pageSetup orientation="portrait" r:id="rId1"/>
  <headerFooter alignWithMargins="0"/>
  <customProperties>
    <customPr name="DVSECTION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AE91"/>
  <sheetViews>
    <sheetView showGridLines="0" zoomScale="60" workbookViewId="0"/>
  </sheetViews>
  <sheetFormatPr defaultRowHeight="12.5" x14ac:dyDescent="0.25"/>
  <sheetData>
    <row r="2" spans="2:31" ht="18" x14ac:dyDescent="0.4">
      <c r="B2" s="13" t="s">
        <v>28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91" spans="2:2" ht="13" x14ac:dyDescent="0.3">
      <c r="B91" s="2" t="s">
        <v>37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2:AE2"/>
  </mergeCells>
  <phoneticPr fontId="3" type="noConversion"/>
  <pageMargins left="0.75" right="0.75" top="1" bottom="1" header="0.5" footer="0.5"/>
  <pageSetup orientation="portrait" horizontalDpi="1200" verticalDpi="1200" r:id="rId1"/>
  <headerFooter alignWithMargins="0"/>
  <customProperties>
    <customPr name="DVSECTION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AE61"/>
  <sheetViews>
    <sheetView showGridLines="0" zoomScale="60" workbookViewId="0"/>
  </sheetViews>
  <sheetFormatPr defaultRowHeight="12.5" x14ac:dyDescent="0.25"/>
  <sheetData>
    <row r="2" spans="2:31" ht="18" x14ac:dyDescent="0.4">
      <c r="B2" s="13" t="s">
        <v>27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61" spans="2:2" ht="13" x14ac:dyDescent="0.3">
      <c r="B61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honeticPr fontId="3" type="noConversion"/>
  <pageMargins left="0.75" right="0.75" top="1" bottom="1" header="0.5" footer="0.5"/>
  <headerFooter alignWithMargins="0"/>
  <customProperties>
    <customPr name="DVSECTIONID" r:id="rId1"/>
  </customPropertie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2:AE33"/>
  <sheetViews>
    <sheetView showGridLines="0" zoomScale="60" workbookViewId="0">
      <selection activeCell="N46" sqref="N46"/>
    </sheetView>
  </sheetViews>
  <sheetFormatPr defaultRowHeight="12.5" x14ac:dyDescent="0.25"/>
  <sheetData>
    <row r="2" spans="2:31" ht="18" x14ac:dyDescent="0.4">
      <c r="B2" s="13" t="s">
        <v>30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3" spans="2:2" ht="13" x14ac:dyDescent="0.3">
      <c r="B33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honeticPr fontId="3" type="noConversion"/>
  <pageMargins left="0.75" right="0.75" top="1" bottom="1" header="0.5" footer="0.5"/>
  <headerFooter alignWithMargins="0"/>
  <customProperties>
    <customPr name="DVSECTIONID" r:id="rId1"/>
  </customPropertie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AE90"/>
  <sheetViews>
    <sheetView showGridLines="0" topLeftCell="A46" zoomScale="60" workbookViewId="0"/>
  </sheetViews>
  <sheetFormatPr defaultRowHeight="12.5" x14ac:dyDescent="0.25"/>
  <sheetData>
    <row r="2" spans="2:31" ht="18" x14ac:dyDescent="0.4">
      <c r="B2" s="13" t="s">
        <v>29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90" spans="2:2" ht="13" x14ac:dyDescent="0.3">
      <c r="B90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honeticPr fontId="3" type="noConversion"/>
  <pageMargins left="0.75" right="0.75" top="1" bottom="1" header="0.5" footer="0.5"/>
  <pageSetup scale="65" orientation="landscape" horizontalDpi="1200" verticalDpi="1200" r:id="rId1"/>
  <headerFooter alignWithMargins="0"/>
  <customProperties>
    <customPr name="DVSECTION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V13"/>
  <sheetViews>
    <sheetView workbookViewId="0">
      <selection activeCell="CH13" sqref="CH13"/>
    </sheetView>
  </sheetViews>
  <sheetFormatPr defaultRowHeight="12.5" x14ac:dyDescent="0.25"/>
  <sheetData>
    <row r="1" spans="1:256" x14ac:dyDescent="0.25">
      <c r="A1" t="e">
        <f>IF('Data '!1:1,"AAAAAB/v4QA=",0)</f>
        <v>#VALUE!</v>
      </c>
      <c r="B1" t="e">
        <f>AND('Data '!A1,"AAAAAB/v4QE=")</f>
        <v>#VALUE!</v>
      </c>
      <c r="C1" t="e">
        <f>AND('Data '!B1,"AAAAAB/v4QI=")</f>
        <v>#VALUE!</v>
      </c>
      <c r="D1" t="e">
        <f>AND('Data '!C1,"AAAAAB/v4QM=")</f>
        <v>#VALUE!</v>
      </c>
      <c r="E1" t="e">
        <f>AND('Data '!D1,"AAAAAB/v4QQ=")</f>
        <v>#VALUE!</v>
      </c>
      <c r="F1" t="e">
        <f>AND('Data '!E1,"AAAAAB/v4QU=")</f>
        <v>#VALUE!</v>
      </c>
      <c r="G1" t="e">
        <f>AND('Data '!F1,"AAAAAB/v4QY=")</f>
        <v>#VALUE!</v>
      </c>
      <c r="H1" t="e">
        <f>AND('Data '!G1,"AAAAAB/v4Qc=")</f>
        <v>#VALUE!</v>
      </c>
      <c r="I1" t="e">
        <f>AND('Data '!H1,"AAAAAB/v4Qg=")</f>
        <v>#VALUE!</v>
      </c>
      <c r="J1" t="e">
        <f>AND('Data '!I1,"AAAAAB/v4Qk=")</f>
        <v>#VALUE!</v>
      </c>
      <c r="K1" t="e">
        <f>AND('Data '!J1,"AAAAAB/v4Qo=")</f>
        <v>#VALUE!</v>
      </c>
      <c r="L1" t="e">
        <f>AND('Data '!K1,"AAAAAB/v4Qs=")</f>
        <v>#VALUE!</v>
      </c>
      <c r="M1" t="e">
        <f>AND('Data '!L1,"AAAAAB/v4Qw=")</f>
        <v>#VALUE!</v>
      </c>
      <c r="N1" t="e">
        <f>AND('Data '!M1,"AAAAAB/v4Q0=")</f>
        <v>#VALUE!</v>
      </c>
      <c r="O1" t="e">
        <f>AND('Data '!N1,"AAAAAB/v4Q4=")</f>
        <v>#VALUE!</v>
      </c>
      <c r="P1" t="e">
        <f>AND('Data '!O1,"AAAAAB/v4Q8=")</f>
        <v>#VALUE!</v>
      </c>
      <c r="Q1" t="e">
        <f>AND('Data '!P1,"AAAAAB/v4RA=")</f>
        <v>#VALUE!</v>
      </c>
      <c r="R1" t="e">
        <f>AND('Data '!Q1,"AAAAAB/v4RE=")</f>
        <v>#VALUE!</v>
      </c>
      <c r="S1" t="e">
        <f>AND('Data '!R1,"AAAAAB/v4RI=")</f>
        <v>#VALUE!</v>
      </c>
      <c r="T1" t="e">
        <f>AND('Data '!S1,"AAAAAB/v4RM=")</f>
        <v>#VALUE!</v>
      </c>
      <c r="U1" t="e">
        <f>AND('Data '!T1,"AAAAAB/v4RQ=")</f>
        <v>#VALUE!</v>
      </c>
      <c r="V1" t="e">
        <f>AND('Data '!U1,"AAAAAB/v4RU=")</f>
        <v>#VALUE!</v>
      </c>
      <c r="W1" t="e">
        <f>AND('Data '!V1,"AAAAAB/v4RY=")</f>
        <v>#VALUE!</v>
      </c>
      <c r="X1" t="e">
        <f>AND('Data '!W1,"AAAAAB/v4Rc=")</f>
        <v>#VALUE!</v>
      </c>
      <c r="Y1" t="e">
        <f>AND('Data '!X1,"AAAAAB/v4Rg=")</f>
        <v>#VALUE!</v>
      </c>
      <c r="Z1" t="e">
        <f>AND('Data '!Y1,"AAAAAB/v4Rk=")</f>
        <v>#VALUE!</v>
      </c>
      <c r="AA1" t="e">
        <f>AND('Data '!Z1,"AAAAAB/v4Ro=")</f>
        <v>#VALUE!</v>
      </c>
      <c r="AB1" t="e">
        <f>AND('Data '!AA1,"AAAAAB/v4Rs=")</f>
        <v>#VALUE!</v>
      </c>
      <c r="AC1" t="e">
        <f>AND('Data '!AB1,"AAAAAB/v4Rw=")</f>
        <v>#VALUE!</v>
      </c>
      <c r="AD1" t="e">
        <f>AND('Data '!AC1,"AAAAAB/v4R0=")</f>
        <v>#VALUE!</v>
      </c>
      <c r="AE1" t="e">
        <f>AND('Data '!#REF!,"AAAAAB/v4R4=")</f>
        <v>#REF!</v>
      </c>
      <c r="AF1" t="e">
        <f>AND('Data '!#REF!,"AAAAAB/v4R8=")</f>
        <v>#REF!</v>
      </c>
      <c r="AG1" t="e">
        <f>AND('Data '!#REF!,"AAAAAB/v4SA=")</f>
        <v>#REF!</v>
      </c>
      <c r="AH1" t="e">
        <f>AND('Data '!#REF!,"AAAAAB/v4SE=")</f>
        <v>#REF!</v>
      </c>
      <c r="AI1" t="e">
        <f>AND('Data '!#REF!,"AAAAAB/v4SI=")</f>
        <v>#REF!</v>
      </c>
      <c r="AJ1" t="e">
        <f>AND('Data '!#REF!,"AAAAAB/v4SM=")</f>
        <v>#REF!</v>
      </c>
      <c r="AK1" t="e">
        <f>AND('Data '!#REF!,"AAAAAB/v4SQ=")</f>
        <v>#REF!</v>
      </c>
      <c r="AL1" t="e">
        <f>AND('Data '!#REF!,"AAAAAB/v4SU=")</f>
        <v>#REF!</v>
      </c>
      <c r="AM1" t="e">
        <f>AND('Data '!#REF!,"AAAAAB/v4SY=")</f>
        <v>#REF!</v>
      </c>
      <c r="AN1" t="e">
        <f>AND('Data '!#REF!,"AAAAAB/v4Sc=")</f>
        <v>#REF!</v>
      </c>
      <c r="AO1">
        <f>IF('Data '!2:2,"AAAAAB/v4Sg=",0)</f>
        <v>0</v>
      </c>
      <c r="AP1" t="e">
        <f>AND('Data '!A2,"AAAAAB/v4Sk=")</f>
        <v>#VALUE!</v>
      </c>
      <c r="AQ1" t="e">
        <f>AND('Data '!B2,"AAAAAB/v4So=")</f>
        <v>#VALUE!</v>
      </c>
      <c r="AR1" t="e">
        <f>AND('Data '!C2,"AAAAAB/v4Ss=")</f>
        <v>#VALUE!</v>
      </c>
      <c r="AS1" t="e">
        <f>AND('Data '!D2,"AAAAAB/v4Sw=")</f>
        <v>#VALUE!</v>
      </c>
      <c r="AT1" t="e">
        <f>AND('Data '!E2,"AAAAAB/v4S0=")</f>
        <v>#VALUE!</v>
      </c>
      <c r="AU1" t="e">
        <f>AND('Data '!F2,"AAAAAB/v4S4=")</f>
        <v>#VALUE!</v>
      </c>
      <c r="AV1" t="e">
        <f>AND('Data '!G2,"AAAAAB/v4S8=")</f>
        <v>#VALUE!</v>
      </c>
      <c r="AW1" t="e">
        <f>AND('Data '!H2,"AAAAAB/v4TA=")</f>
        <v>#VALUE!</v>
      </c>
      <c r="AX1" t="e">
        <f>AND('Data '!I2,"AAAAAB/v4TE=")</f>
        <v>#VALUE!</v>
      </c>
      <c r="AY1" t="e">
        <f>AND('Data '!J2,"AAAAAB/v4TI=")</f>
        <v>#VALUE!</v>
      </c>
      <c r="AZ1" t="e">
        <f>AND('Data '!K2,"AAAAAB/v4TM=")</f>
        <v>#VALUE!</v>
      </c>
      <c r="BA1" t="e">
        <f>AND('Data '!L2,"AAAAAB/v4TQ=")</f>
        <v>#VALUE!</v>
      </c>
      <c r="BB1" t="e">
        <f>AND('Data '!M2,"AAAAAB/v4TU=")</f>
        <v>#VALUE!</v>
      </c>
      <c r="BC1" t="e">
        <f>AND('Data '!N2,"AAAAAB/v4TY=")</f>
        <v>#VALUE!</v>
      </c>
      <c r="BD1" t="e">
        <f>AND('Data '!O2,"AAAAAB/v4Tc=")</f>
        <v>#VALUE!</v>
      </c>
      <c r="BE1" t="e">
        <f>AND('Data '!P2,"AAAAAB/v4Tg=")</f>
        <v>#VALUE!</v>
      </c>
      <c r="BF1" t="e">
        <f>AND('Data '!Q2,"AAAAAB/v4Tk=")</f>
        <v>#VALUE!</v>
      </c>
      <c r="BG1" t="e">
        <f>AND('Data '!R2,"AAAAAB/v4To=")</f>
        <v>#VALUE!</v>
      </c>
      <c r="BH1" t="e">
        <f>AND('Data '!S2,"AAAAAB/v4Ts=")</f>
        <v>#VALUE!</v>
      </c>
      <c r="BI1" t="e">
        <f>AND('Data '!T2,"AAAAAB/v4Tw=")</f>
        <v>#VALUE!</v>
      </c>
      <c r="BJ1" t="e">
        <f>AND('Data '!U2,"AAAAAB/v4T0=")</f>
        <v>#VALUE!</v>
      </c>
      <c r="BK1" t="e">
        <f>AND('Data '!V2,"AAAAAB/v4T4=")</f>
        <v>#VALUE!</v>
      </c>
      <c r="BL1" t="e">
        <f>AND('Data '!W2,"AAAAAB/v4T8=")</f>
        <v>#VALUE!</v>
      </c>
      <c r="BM1" t="e">
        <f>AND('Data '!X2,"AAAAAB/v4UA=")</f>
        <v>#VALUE!</v>
      </c>
      <c r="BN1" t="e">
        <f>AND('Data '!Y2,"AAAAAB/v4UE=")</f>
        <v>#VALUE!</v>
      </c>
      <c r="BO1" t="e">
        <f>AND('Data '!Z2,"AAAAAB/v4UI=")</f>
        <v>#VALUE!</v>
      </c>
      <c r="BP1" t="e">
        <f>AND('Data '!AA2,"AAAAAB/v4UM=")</f>
        <v>#VALUE!</v>
      </c>
      <c r="BQ1" t="e">
        <f>AND('Data '!AB2,"AAAAAB/v4UQ=")</f>
        <v>#VALUE!</v>
      </c>
      <c r="BR1" t="e">
        <f>AND('Data '!AC2,"AAAAAB/v4UU=")</f>
        <v>#VALUE!</v>
      </c>
      <c r="BS1" t="e">
        <f>AND('Data '!#REF!,"AAAAAB/v4UY=")</f>
        <v>#REF!</v>
      </c>
      <c r="BT1" t="e">
        <f>AND('Data '!#REF!,"AAAAAB/v4Uc=")</f>
        <v>#REF!</v>
      </c>
      <c r="BU1" t="e">
        <f>AND('Data '!#REF!,"AAAAAB/v4Ug=")</f>
        <v>#REF!</v>
      </c>
      <c r="BV1" t="e">
        <f>AND('Data '!#REF!,"AAAAAB/v4Uk=")</f>
        <v>#REF!</v>
      </c>
      <c r="BW1" t="e">
        <f>AND('Data '!#REF!,"AAAAAB/v4Uo=")</f>
        <v>#REF!</v>
      </c>
      <c r="BX1" t="e">
        <f>AND('Data '!#REF!,"AAAAAB/v4Us=")</f>
        <v>#REF!</v>
      </c>
      <c r="BY1" t="e">
        <f>AND('Data '!#REF!,"AAAAAB/v4Uw=")</f>
        <v>#REF!</v>
      </c>
      <c r="BZ1" t="e">
        <f>AND('Data '!#REF!,"AAAAAB/v4U0=")</f>
        <v>#REF!</v>
      </c>
      <c r="CA1" t="e">
        <f>AND('Data '!#REF!,"AAAAAB/v4U4=")</f>
        <v>#REF!</v>
      </c>
      <c r="CB1" t="e">
        <f>AND('Data '!#REF!,"AAAAAB/v4U8=")</f>
        <v>#REF!</v>
      </c>
      <c r="CC1">
        <f>IF('Data '!3:3,"AAAAAB/v4VA=",0)</f>
        <v>0</v>
      </c>
      <c r="CD1" t="e">
        <f>AND('Data '!A3,"AAAAAB/v4VE=")</f>
        <v>#VALUE!</v>
      </c>
      <c r="CE1" t="e">
        <f>AND('Data '!B3,"AAAAAB/v4VI=")</f>
        <v>#VALUE!</v>
      </c>
      <c r="CF1" t="e">
        <f>AND('Data '!C3,"AAAAAB/v4VM=")</f>
        <v>#VALUE!</v>
      </c>
      <c r="CG1" t="e">
        <f>AND('Data '!D3,"AAAAAB/v4VQ=")</f>
        <v>#VALUE!</v>
      </c>
      <c r="CH1" t="e">
        <f>AND('Data '!E3,"AAAAAB/v4VU=")</f>
        <v>#VALUE!</v>
      </c>
      <c r="CI1" t="e">
        <f>AND('Data '!F3,"AAAAAB/v4VY=")</f>
        <v>#VALUE!</v>
      </c>
      <c r="CJ1" t="e">
        <f>AND('Data '!G3,"AAAAAB/v4Vc=")</f>
        <v>#VALUE!</v>
      </c>
      <c r="CK1" t="e">
        <f>AND('Data '!H3,"AAAAAB/v4Vg=")</f>
        <v>#VALUE!</v>
      </c>
      <c r="CL1" t="e">
        <f>AND('Data '!I3,"AAAAAB/v4Vk=")</f>
        <v>#VALUE!</v>
      </c>
      <c r="CM1" t="e">
        <f>AND('Data '!J3,"AAAAAB/v4Vo=")</f>
        <v>#VALUE!</v>
      </c>
      <c r="CN1" t="e">
        <f>AND('Data '!K3,"AAAAAB/v4Vs=")</f>
        <v>#VALUE!</v>
      </c>
      <c r="CO1" t="e">
        <f>AND('Data '!L3,"AAAAAB/v4Vw=")</f>
        <v>#VALUE!</v>
      </c>
      <c r="CP1" t="e">
        <f>AND('Data '!M3,"AAAAAB/v4V0=")</f>
        <v>#VALUE!</v>
      </c>
      <c r="CQ1" t="e">
        <f>AND('Data '!N3,"AAAAAB/v4V4=")</f>
        <v>#VALUE!</v>
      </c>
      <c r="CR1" t="e">
        <f>AND('Data '!O3,"AAAAAB/v4V8=")</f>
        <v>#VALUE!</v>
      </c>
      <c r="CS1" t="e">
        <f>AND('Data '!P3,"AAAAAB/v4WA=")</f>
        <v>#VALUE!</v>
      </c>
      <c r="CT1" t="e">
        <f>AND('Data '!Q3,"AAAAAB/v4WE=")</f>
        <v>#VALUE!</v>
      </c>
      <c r="CU1" t="e">
        <f>AND('Data '!R3,"AAAAAB/v4WI=")</f>
        <v>#VALUE!</v>
      </c>
      <c r="CV1" t="e">
        <f>AND('Data '!S3,"AAAAAB/v4WM=")</f>
        <v>#VALUE!</v>
      </c>
      <c r="CW1" t="e">
        <f>AND('Data '!T3,"AAAAAB/v4WQ=")</f>
        <v>#VALUE!</v>
      </c>
      <c r="CX1" t="e">
        <f>AND('Data '!U3,"AAAAAB/v4WU=")</f>
        <v>#VALUE!</v>
      </c>
      <c r="CY1" t="e">
        <f>AND('Data '!V3,"AAAAAB/v4WY=")</f>
        <v>#VALUE!</v>
      </c>
      <c r="CZ1" t="e">
        <f>AND('Data '!W3,"AAAAAB/v4Wc=")</f>
        <v>#VALUE!</v>
      </c>
      <c r="DA1" t="e">
        <f>AND('Data '!X3,"AAAAAB/v4Wg=")</f>
        <v>#VALUE!</v>
      </c>
      <c r="DB1" t="e">
        <f>AND('Data '!Y3,"AAAAAB/v4Wk=")</f>
        <v>#VALUE!</v>
      </c>
      <c r="DC1" t="e">
        <f>AND('Data '!Z3,"AAAAAB/v4Wo=")</f>
        <v>#VALUE!</v>
      </c>
      <c r="DD1" t="e">
        <f>AND('Data '!AA3,"AAAAAB/v4Ws=")</f>
        <v>#VALUE!</v>
      </c>
      <c r="DE1" t="e">
        <f>AND('Data '!AB3,"AAAAAB/v4Ww=")</f>
        <v>#VALUE!</v>
      </c>
      <c r="DF1" t="e">
        <f>AND('Data '!AC3,"AAAAAB/v4W0=")</f>
        <v>#VALUE!</v>
      </c>
      <c r="DG1" t="e">
        <f>AND('Data '!#REF!,"AAAAAB/v4W4=")</f>
        <v>#REF!</v>
      </c>
      <c r="DH1" t="e">
        <f>AND('Data '!#REF!,"AAAAAB/v4W8=")</f>
        <v>#REF!</v>
      </c>
      <c r="DI1" t="e">
        <f>AND('Data '!#REF!,"AAAAAB/v4XA=")</f>
        <v>#REF!</v>
      </c>
      <c r="DJ1" t="e">
        <f>AND('Data '!#REF!,"AAAAAB/v4XE=")</f>
        <v>#REF!</v>
      </c>
      <c r="DK1" t="e">
        <f>AND('Data '!#REF!,"AAAAAB/v4XI=")</f>
        <v>#REF!</v>
      </c>
      <c r="DL1" t="e">
        <f>AND('Data '!#REF!,"AAAAAB/v4XM=")</f>
        <v>#REF!</v>
      </c>
      <c r="DM1" t="e">
        <f>AND('Data '!#REF!,"AAAAAB/v4XQ=")</f>
        <v>#REF!</v>
      </c>
      <c r="DN1" t="e">
        <f>AND('Data '!#REF!,"AAAAAB/v4XU=")</f>
        <v>#REF!</v>
      </c>
      <c r="DO1" t="e">
        <f>AND('Data '!#REF!,"AAAAAB/v4XY=")</f>
        <v>#REF!</v>
      </c>
      <c r="DP1" t="e">
        <f>AND('Data '!#REF!,"AAAAAB/v4Xc=")</f>
        <v>#REF!</v>
      </c>
      <c r="DQ1">
        <f>IF('Data '!4:4,"AAAAAB/v4Xg=",0)</f>
        <v>0</v>
      </c>
      <c r="DR1" t="e">
        <f>AND('Data '!A4,"AAAAAB/v4Xk=")</f>
        <v>#VALUE!</v>
      </c>
      <c r="DS1" t="e">
        <f>AND('Data '!B4,"AAAAAB/v4Xo=")</f>
        <v>#VALUE!</v>
      </c>
      <c r="DT1" t="e">
        <f>AND('Data '!C4,"AAAAAB/v4Xs=")</f>
        <v>#VALUE!</v>
      </c>
      <c r="DU1" t="e">
        <f>AND('Data '!D4,"AAAAAB/v4Xw=")</f>
        <v>#VALUE!</v>
      </c>
      <c r="DV1" t="e">
        <f>AND('Data '!E4,"AAAAAB/v4X0=")</f>
        <v>#VALUE!</v>
      </c>
      <c r="DW1" t="e">
        <f>AND('Data '!F4,"AAAAAB/v4X4=")</f>
        <v>#VALUE!</v>
      </c>
      <c r="DX1" t="e">
        <f>AND('Data '!G4,"AAAAAB/v4X8=")</f>
        <v>#VALUE!</v>
      </c>
      <c r="DY1" t="e">
        <f>AND('Data '!H4,"AAAAAB/v4YA=")</f>
        <v>#VALUE!</v>
      </c>
      <c r="DZ1" t="e">
        <f>AND('Data '!I4,"AAAAAB/v4YE=")</f>
        <v>#VALUE!</v>
      </c>
      <c r="EA1" t="e">
        <f>AND('Data '!J4,"AAAAAB/v4YI=")</f>
        <v>#VALUE!</v>
      </c>
      <c r="EB1" t="e">
        <f>AND('Data '!K4,"AAAAAB/v4YM=")</f>
        <v>#VALUE!</v>
      </c>
      <c r="EC1" t="e">
        <f>AND('Data '!L4,"AAAAAB/v4YQ=")</f>
        <v>#VALUE!</v>
      </c>
      <c r="ED1" t="e">
        <f>AND('Data '!M4,"AAAAAB/v4YU=")</f>
        <v>#VALUE!</v>
      </c>
      <c r="EE1" t="e">
        <f>AND('Data '!N4,"AAAAAB/v4YY=")</f>
        <v>#VALUE!</v>
      </c>
      <c r="EF1" t="e">
        <f>AND('Data '!O4,"AAAAAB/v4Yc=")</f>
        <v>#VALUE!</v>
      </c>
      <c r="EG1" t="e">
        <f>AND('Data '!P4,"AAAAAB/v4Yg=")</f>
        <v>#VALUE!</v>
      </c>
      <c r="EH1" t="e">
        <f>AND('Data '!Q4,"AAAAAB/v4Yk=")</f>
        <v>#VALUE!</v>
      </c>
      <c r="EI1" t="e">
        <f>AND('Data '!R4,"AAAAAB/v4Yo=")</f>
        <v>#VALUE!</v>
      </c>
      <c r="EJ1" t="e">
        <f>AND('Data '!S4,"AAAAAB/v4Ys=")</f>
        <v>#VALUE!</v>
      </c>
      <c r="EK1" t="e">
        <f>AND('Data '!T4,"AAAAAB/v4Yw=")</f>
        <v>#VALUE!</v>
      </c>
      <c r="EL1" t="e">
        <f>AND('Data '!U4,"AAAAAB/v4Y0=")</f>
        <v>#VALUE!</v>
      </c>
      <c r="EM1" t="e">
        <f>AND('Data '!V4,"AAAAAB/v4Y4=")</f>
        <v>#VALUE!</v>
      </c>
      <c r="EN1" t="e">
        <f>AND('Data '!W4,"AAAAAB/v4Y8=")</f>
        <v>#VALUE!</v>
      </c>
      <c r="EO1" t="e">
        <f>AND('Data '!X4,"AAAAAB/v4ZA=")</f>
        <v>#VALUE!</v>
      </c>
      <c r="EP1" t="e">
        <f>AND('Data '!Y4,"AAAAAB/v4ZE=")</f>
        <v>#VALUE!</v>
      </c>
      <c r="EQ1" t="e">
        <f>AND('Data '!Z4,"AAAAAB/v4ZI=")</f>
        <v>#VALUE!</v>
      </c>
      <c r="ER1" t="e">
        <f>AND('Data '!AA4,"AAAAAB/v4ZM=")</f>
        <v>#VALUE!</v>
      </c>
      <c r="ES1" t="e">
        <f>AND('Data '!AB4,"AAAAAB/v4ZQ=")</f>
        <v>#VALUE!</v>
      </c>
      <c r="ET1" t="e">
        <f>AND('Data '!AC4,"AAAAAB/v4ZU=")</f>
        <v>#VALUE!</v>
      </c>
      <c r="EU1" t="e">
        <f>AND('Data '!#REF!,"AAAAAB/v4ZY=")</f>
        <v>#REF!</v>
      </c>
      <c r="EV1" t="e">
        <f>AND('Data '!#REF!,"AAAAAB/v4Zc=")</f>
        <v>#REF!</v>
      </c>
      <c r="EW1" t="e">
        <f>AND('Data '!#REF!,"AAAAAB/v4Zg=")</f>
        <v>#REF!</v>
      </c>
      <c r="EX1" t="e">
        <f>AND('Data '!#REF!,"AAAAAB/v4Zk=")</f>
        <v>#REF!</v>
      </c>
      <c r="EY1" t="e">
        <f>AND('Data '!#REF!,"AAAAAB/v4Zo=")</f>
        <v>#REF!</v>
      </c>
      <c r="EZ1" t="e">
        <f>AND('Data '!#REF!,"AAAAAB/v4Zs=")</f>
        <v>#REF!</v>
      </c>
      <c r="FA1" t="e">
        <f>AND('Data '!#REF!,"AAAAAB/v4Zw=")</f>
        <v>#REF!</v>
      </c>
      <c r="FB1" t="e">
        <f>AND('Data '!#REF!,"AAAAAB/v4Z0=")</f>
        <v>#REF!</v>
      </c>
      <c r="FC1" t="e">
        <f>AND('Data '!#REF!,"AAAAAB/v4Z4=")</f>
        <v>#REF!</v>
      </c>
      <c r="FD1" t="e">
        <f>AND('Data '!#REF!,"AAAAAB/v4Z8=")</f>
        <v>#REF!</v>
      </c>
      <c r="FE1">
        <f>IF('Data '!5:5,"AAAAAB/v4aA=",0)</f>
        <v>0</v>
      </c>
      <c r="FF1" t="e">
        <f>AND('Data '!A5,"AAAAAB/v4aE=")</f>
        <v>#VALUE!</v>
      </c>
      <c r="FG1" t="e">
        <f>AND('Data '!B5,"AAAAAB/v4aI=")</f>
        <v>#VALUE!</v>
      </c>
      <c r="FH1" t="e">
        <f>AND('Data '!C5,"AAAAAB/v4aM=")</f>
        <v>#VALUE!</v>
      </c>
      <c r="FI1" t="e">
        <f>AND('Data '!D5,"AAAAAB/v4aQ=")</f>
        <v>#VALUE!</v>
      </c>
      <c r="FJ1" t="e">
        <f>AND('Data '!E5,"AAAAAB/v4aU=")</f>
        <v>#VALUE!</v>
      </c>
      <c r="FK1" t="e">
        <f>AND('Data '!F5,"AAAAAB/v4aY=")</f>
        <v>#VALUE!</v>
      </c>
      <c r="FL1" t="e">
        <f>AND('Data '!G5,"AAAAAB/v4ac=")</f>
        <v>#VALUE!</v>
      </c>
      <c r="FM1" t="e">
        <f>AND('Data '!H5,"AAAAAB/v4ag=")</f>
        <v>#VALUE!</v>
      </c>
      <c r="FN1" t="e">
        <f>AND('Data '!I5,"AAAAAB/v4ak=")</f>
        <v>#VALUE!</v>
      </c>
      <c r="FO1" t="e">
        <f>AND('Data '!J5,"AAAAAB/v4ao=")</f>
        <v>#VALUE!</v>
      </c>
      <c r="FP1" t="e">
        <f>AND('Data '!K5,"AAAAAB/v4as=")</f>
        <v>#VALUE!</v>
      </c>
      <c r="FQ1" t="e">
        <f>AND('Data '!L5,"AAAAAB/v4aw=")</f>
        <v>#VALUE!</v>
      </c>
      <c r="FR1" t="e">
        <f>AND('Data '!M5,"AAAAAB/v4a0=")</f>
        <v>#VALUE!</v>
      </c>
      <c r="FS1" t="e">
        <f>AND('Data '!N5,"AAAAAB/v4a4=")</f>
        <v>#VALUE!</v>
      </c>
      <c r="FT1" t="e">
        <f>AND('Data '!O5,"AAAAAB/v4a8=")</f>
        <v>#VALUE!</v>
      </c>
      <c r="FU1" t="e">
        <f>AND('Data '!P5,"AAAAAB/v4bA=")</f>
        <v>#VALUE!</v>
      </c>
      <c r="FV1" t="e">
        <f>AND('Data '!Q5,"AAAAAB/v4bE=")</f>
        <v>#VALUE!</v>
      </c>
      <c r="FW1" t="e">
        <f>AND('Data '!R5,"AAAAAB/v4bI=")</f>
        <v>#VALUE!</v>
      </c>
      <c r="FX1" t="e">
        <f>AND('Data '!S5,"AAAAAB/v4bM=")</f>
        <v>#VALUE!</v>
      </c>
      <c r="FY1" t="e">
        <f>AND('Data '!T5,"AAAAAB/v4bQ=")</f>
        <v>#VALUE!</v>
      </c>
      <c r="FZ1" t="e">
        <f>AND('Data '!U5,"AAAAAB/v4bU=")</f>
        <v>#VALUE!</v>
      </c>
      <c r="GA1" t="e">
        <f>AND('Data '!V5,"AAAAAB/v4bY=")</f>
        <v>#VALUE!</v>
      </c>
      <c r="GB1" t="e">
        <f>AND('Data '!W5,"AAAAAB/v4bc=")</f>
        <v>#VALUE!</v>
      </c>
      <c r="GC1" t="e">
        <f>AND('Data '!X5,"AAAAAB/v4bg=")</f>
        <v>#VALUE!</v>
      </c>
      <c r="GD1" t="e">
        <f>AND('Data '!Y5,"AAAAAB/v4bk=")</f>
        <v>#VALUE!</v>
      </c>
      <c r="GE1" t="e">
        <f>AND('Data '!Z5,"AAAAAB/v4bo=")</f>
        <v>#VALUE!</v>
      </c>
      <c r="GF1" t="e">
        <f>AND('Data '!AA5,"AAAAAB/v4bs=")</f>
        <v>#VALUE!</v>
      </c>
      <c r="GG1" t="e">
        <f>AND('Data '!AB5,"AAAAAB/v4bw=")</f>
        <v>#VALUE!</v>
      </c>
      <c r="GH1" t="e">
        <f>AND('Data '!AC5,"AAAAAB/v4b0=")</f>
        <v>#VALUE!</v>
      </c>
      <c r="GI1" t="e">
        <f>AND('Data '!#REF!,"AAAAAB/v4b4=")</f>
        <v>#REF!</v>
      </c>
      <c r="GJ1" t="e">
        <f>AND('Data '!#REF!,"AAAAAB/v4b8=")</f>
        <v>#REF!</v>
      </c>
      <c r="GK1" t="e">
        <f>AND('Data '!#REF!,"AAAAAB/v4cA=")</f>
        <v>#REF!</v>
      </c>
      <c r="GL1" t="e">
        <f>AND('Data '!#REF!,"AAAAAB/v4cE=")</f>
        <v>#REF!</v>
      </c>
      <c r="GM1" t="e">
        <f>AND('Data '!#REF!,"AAAAAB/v4cI=")</f>
        <v>#REF!</v>
      </c>
      <c r="GN1" t="e">
        <f>AND('Data '!#REF!,"AAAAAB/v4cM=")</f>
        <v>#REF!</v>
      </c>
      <c r="GO1" t="e">
        <f>AND('Data '!#REF!,"AAAAAB/v4cQ=")</f>
        <v>#REF!</v>
      </c>
      <c r="GP1" t="e">
        <f>AND('Data '!#REF!,"AAAAAB/v4cU=")</f>
        <v>#REF!</v>
      </c>
      <c r="GQ1" t="e">
        <f>AND('Data '!#REF!,"AAAAAB/v4cY=")</f>
        <v>#REF!</v>
      </c>
      <c r="GR1" t="e">
        <f>AND('Data '!#REF!,"AAAAAB/v4cc=")</f>
        <v>#REF!</v>
      </c>
      <c r="GS1">
        <f>IF('Data '!6:6,"AAAAAB/v4cg=",0)</f>
        <v>0</v>
      </c>
      <c r="GT1" t="e">
        <f>AND('Data '!A6,"AAAAAB/v4ck=")</f>
        <v>#VALUE!</v>
      </c>
      <c r="GU1" t="e">
        <f>AND('Data '!B6,"AAAAAB/v4co=")</f>
        <v>#VALUE!</v>
      </c>
      <c r="GV1" t="e">
        <f>AND('Data '!C6,"AAAAAB/v4cs=")</f>
        <v>#VALUE!</v>
      </c>
      <c r="GW1" t="e">
        <f>AND('Data '!D6,"AAAAAB/v4cw=")</f>
        <v>#VALUE!</v>
      </c>
      <c r="GX1" t="e">
        <f>AND('Data '!E6,"AAAAAB/v4c0=")</f>
        <v>#VALUE!</v>
      </c>
      <c r="GY1" t="e">
        <f>AND('Data '!F6,"AAAAAB/v4c4=")</f>
        <v>#VALUE!</v>
      </c>
      <c r="GZ1" t="e">
        <f>AND('Data '!G6,"AAAAAB/v4c8=")</f>
        <v>#VALUE!</v>
      </c>
      <c r="HA1" t="e">
        <f>AND('Data '!H6,"AAAAAB/v4dA=")</f>
        <v>#VALUE!</v>
      </c>
      <c r="HB1" t="e">
        <f>AND('Data '!I6,"AAAAAB/v4dE=")</f>
        <v>#VALUE!</v>
      </c>
      <c r="HC1" t="e">
        <f>AND('Data '!J6,"AAAAAB/v4dI=")</f>
        <v>#VALUE!</v>
      </c>
      <c r="HD1" t="e">
        <f>AND('Data '!K6,"AAAAAB/v4dM=")</f>
        <v>#VALUE!</v>
      </c>
      <c r="HE1" t="e">
        <f>AND('Data '!L6,"AAAAAB/v4dQ=")</f>
        <v>#VALUE!</v>
      </c>
      <c r="HF1" t="e">
        <f>AND('Data '!M6,"AAAAAB/v4dU=")</f>
        <v>#VALUE!</v>
      </c>
      <c r="HG1" t="e">
        <f>AND('Data '!N6,"AAAAAB/v4dY=")</f>
        <v>#VALUE!</v>
      </c>
      <c r="HH1" t="e">
        <f>AND('Data '!O6,"AAAAAB/v4dc=")</f>
        <v>#VALUE!</v>
      </c>
      <c r="HI1" t="e">
        <f>AND('Data '!P6,"AAAAAB/v4dg=")</f>
        <v>#VALUE!</v>
      </c>
      <c r="HJ1" t="e">
        <f>AND('Data '!Q6,"AAAAAB/v4dk=")</f>
        <v>#VALUE!</v>
      </c>
      <c r="HK1" t="e">
        <f>AND('Data '!R6,"AAAAAB/v4do=")</f>
        <v>#VALUE!</v>
      </c>
      <c r="HL1" t="e">
        <f>AND('Data '!S6,"AAAAAB/v4ds=")</f>
        <v>#VALUE!</v>
      </c>
      <c r="HM1" t="e">
        <f>AND('Data '!T6,"AAAAAB/v4dw=")</f>
        <v>#VALUE!</v>
      </c>
      <c r="HN1" t="e">
        <f>AND('Data '!U6,"AAAAAB/v4d0=")</f>
        <v>#VALUE!</v>
      </c>
      <c r="HO1" t="e">
        <f>AND('Data '!V6,"AAAAAB/v4d4=")</f>
        <v>#VALUE!</v>
      </c>
      <c r="HP1" t="e">
        <f>AND('Data '!W6,"AAAAAB/v4d8=")</f>
        <v>#VALUE!</v>
      </c>
      <c r="HQ1" t="e">
        <f>AND('Data '!X6,"AAAAAB/v4eA=")</f>
        <v>#VALUE!</v>
      </c>
      <c r="HR1" t="e">
        <f>AND('Data '!Y6,"AAAAAB/v4eE=")</f>
        <v>#VALUE!</v>
      </c>
      <c r="HS1" t="e">
        <f>AND('Data '!Z6,"AAAAAB/v4eI=")</f>
        <v>#VALUE!</v>
      </c>
      <c r="HT1" t="e">
        <f>AND('Data '!AA6,"AAAAAB/v4eM=")</f>
        <v>#VALUE!</v>
      </c>
      <c r="HU1" t="e">
        <f>AND('Data '!AB6,"AAAAAB/v4eQ=")</f>
        <v>#VALUE!</v>
      </c>
      <c r="HV1" t="e">
        <f>AND('Data '!AC6,"AAAAAB/v4eU=")</f>
        <v>#VALUE!</v>
      </c>
      <c r="HW1" t="e">
        <f>AND('Data '!#REF!,"AAAAAB/v4eY=")</f>
        <v>#REF!</v>
      </c>
      <c r="HX1" t="e">
        <f>AND('Data '!#REF!,"AAAAAB/v4ec=")</f>
        <v>#REF!</v>
      </c>
      <c r="HY1" t="e">
        <f>AND('Data '!#REF!,"AAAAAB/v4eg=")</f>
        <v>#REF!</v>
      </c>
      <c r="HZ1" t="e">
        <f>AND('Data '!#REF!,"AAAAAB/v4ek=")</f>
        <v>#REF!</v>
      </c>
      <c r="IA1" t="e">
        <f>AND('Data '!#REF!,"AAAAAB/v4eo=")</f>
        <v>#REF!</v>
      </c>
      <c r="IB1" t="e">
        <f>AND('Data '!#REF!,"AAAAAB/v4es=")</f>
        <v>#REF!</v>
      </c>
      <c r="IC1" t="e">
        <f>AND('Data '!#REF!,"AAAAAB/v4ew=")</f>
        <v>#REF!</v>
      </c>
      <c r="ID1" t="e">
        <f>AND('Data '!#REF!,"AAAAAB/v4e0=")</f>
        <v>#REF!</v>
      </c>
      <c r="IE1" t="e">
        <f>AND('Data '!#REF!,"AAAAAB/v4e4=")</f>
        <v>#REF!</v>
      </c>
      <c r="IF1" t="e">
        <f>AND('Data '!#REF!,"AAAAAB/v4e8=")</f>
        <v>#REF!</v>
      </c>
      <c r="IG1">
        <f>IF('Data '!7:7,"AAAAAB/v4fA=",0)</f>
        <v>0</v>
      </c>
      <c r="IH1" t="e">
        <f>AND('Data '!A7,"AAAAAB/v4fE=")</f>
        <v>#VALUE!</v>
      </c>
      <c r="II1" t="e">
        <f>AND('Data '!B7,"AAAAAB/v4fI=")</f>
        <v>#VALUE!</v>
      </c>
      <c r="IJ1" t="e">
        <f>AND('Data '!C7,"AAAAAB/v4fM=")</f>
        <v>#VALUE!</v>
      </c>
      <c r="IK1" t="e">
        <f>AND('Data '!D7,"AAAAAB/v4fQ=")</f>
        <v>#VALUE!</v>
      </c>
      <c r="IL1" t="e">
        <f>AND('Data '!E7,"AAAAAB/v4fU=")</f>
        <v>#VALUE!</v>
      </c>
      <c r="IM1" t="e">
        <f>AND('Data '!F7,"AAAAAB/v4fY=")</f>
        <v>#VALUE!</v>
      </c>
      <c r="IN1" t="e">
        <f>AND('Data '!G7,"AAAAAB/v4fc=")</f>
        <v>#VALUE!</v>
      </c>
      <c r="IO1" t="e">
        <f>AND('Data '!H7,"AAAAAB/v4fg=")</f>
        <v>#VALUE!</v>
      </c>
      <c r="IP1" t="e">
        <f>AND('Data '!I7,"AAAAAB/v4fk=")</f>
        <v>#VALUE!</v>
      </c>
      <c r="IQ1" t="e">
        <f>AND('Data '!J7,"AAAAAB/v4fo=")</f>
        <v>#VALUE!</v>
      </c>
      <c r="IR1" t="e">
        <f>AND('Data '!K7,"AAAAAB/v4fs=")</f>
        <v>#VALUE!</v>
      </c>
      <c r="IS1" t="e">
        <f>AND('Data '!L7,"AAAAAB/v4fw=")</f>
        <v>#VALUE!</v>
      </c>
      <c r="IT1" t="e">
        <f>AND('Data '!M7,"AAAAAB/v4f0=")</f>
        <v>#VALUE!</v>
      </c>
      <c r="IU1" t="e">
        <f>AND('Data '!N7,"AAAAAB/v4f4=")</f>
        <v>#VALUE!</v>
      </c>
      <c r="IV1" t="e">
        <f>AND('Data '!O7,"AAAAAB/v4f8=")</f>
        <v>#VALUE!</v>
      </c>
    </row>
    <row r="2" spans="1:256" x14ac:dyDescent="0.25">
      <c r="A2" t="e">
        <f>AND('Data '!P7,"AAAAAHfBvgA=")</f>
        <v>#VALUE!</v>
      </c>
      <c r="B2" t="e">
        <f>AND('Data '!Q7,"AAAAAHfBvgE=")</f>
        <v>#VALUE!</v>
      </c>
      <c r="C2" t="e">
        <f>AND('Data '!R7,"AAAAAHfBvgI=")</f>
        <v>#VALUE!</v>
      </c>
      <c r="D2" t="e">
        <f>AND('Data '!S7,"AAAAAHfBvgM=")</f>
        <v>#VALUE!</v>
      </c>
      <c r="E2" t="e">
        <f>AND('Data '!T7,"AAAAAHfBvgQ=")</f>
        <v>#VALUE!</v>
      </c>
      <c r="F2" t="e">
        <f>AND('Data '!U7,"AAAAAHfBvgU=")</f>
        <v>#VALUE!</v>
      </c>
      <c r="G2" t="e">
        <f>AND('Data '!V7,"AAAAAHfBvgY=")</f>
        <v>#VALUE!</v>
      </c>
      <c r="H2" t="e">
        <f>AND('Data '!W7,"AAAAAHfBvgc=")</f>
        <v>#VALUE!</v>
      </c>
      <c r="I2" t="e">
        <f>AND('Data '!X7,"AAAAAHfBvgg=")</f>
        <v>#VALUE!</v>
      </c>
      <c r="J2" t="e">
        <f>AND('Data '!Y7,"AAAAAHfBvgk=")</f>
        <v>#VALUE!</v>
      </c>
      <c r="K2" t="e">
        <f>AND('Data '!Z7,"AAAAAHfBvgo=")</f>
        <v>#VALUE!</v>
      </c>
      <c r="L2" t="e">
        <f>AND('Data '!AA7,"AAAAAHfBvgs=")</f>
        <v>#VALUE!</v>
      </c>
      <c r="M2" t="e">
        <f>AND('Data '!AB7,"AAAAAHfBvgw=")</f>
        <v>#VALUE!</v>
      </c>
      <c r="N2" t="e">
        <f>AND('Data '!AC7,"AAAAAHfBvg0=")</f>
        <v>#VALUE!</v>
      </c>
      <c r="O2" t="e">
        <f>AND('Data '!#REF!,"AAAAAHfBvg4=")</f>
        <v>#REF!</v>
      </c>
      <c r="P2" t="e">
        <f>AND('Data '!#REF!,"AAAAAHfBvg8=")</f>
        <v>#REF!</v>
      </c>
      <c r="Q2" t="e">
        <f>AND('Data '!#REF!,"AAAAAHfBvhA=")</f>
        <v>#REF!</v>
      </c>
      <c r="R2" t="e">
        <f>AND('Data '!#REF!,"AAAAAHfBvhE=")</f>
        <v>#REF!</v>
      </c>
      <c r="S2" t="e">
        <f>AND('Data '!#REF!,"AAAAAHfBvhI=")</f>
        <v>#REF!</v>
      </c>
      <c r="T2" t="e">
        <f>AND('Data '!#REF!,"AAAAAHfBvhM=")</f>
        <v>#REF!</v>
      </c>
      <c r="U2" t="e">
        <f>AND('Data '!#REF!,"AAAAAHfBvhQ=")</f>
        <v>#REF!</v>
      </c>
      <c r="V2" t="e">
        <f>AND('Data '!#REF!,"AAAAAHfBvhU=")</f>
        <v>#REF!</v>
      </c>
      <c r="W2" t="e">
        <f>AND('Data '!#REF!,"AAAAAHfBvhY=")</f>
        <v>#REF!</v>
      </c>
      <c r="X2" t="e">
        <f>AND('Data '!#REF!,"AAAAAHfBvhc=")</f>
        <v>#REF!</v>
      </c>
      <c r="Y2">
        <f>IF('Data '!8:8,"AAAAAHfBvhg=",0)</f>
        <v>0</v>
      </c>
      <c r="Z2" t="e">
        <f>AND('Data '!A8,"AAAAAHfBvhk=")</f>
        <v>#VALUE!</v>
      </c>
      <c r="AA2" t="e">
        <f>AND('Data '!B8,"AAAAAHfBvho=")</f>
        <v>#VALUE!</v>
      </c>
      <c r="AB2" t="e">
        <f>AND('Data '!C8,"AAAAAHfBvhs=")</f>
        <v>#VALUE!</v>
      </c>
      <c r="AC2" t="e">
        <f>AND('Data '!D8,"AAAAAHfBvhw=")</f>
        <v>#VALUE!</v>
      </c>
      <c r="AD2" t="e">
        <f>AND('Data '!E8,"AAAAAHfBvh0=")</f>
        <v>#VALUE!</v>
      </c>
      <c r="AE2" t="e">
        <f>AND('Data '!F8,"AAAAAHfBvh4=")</f>
        <v>#VALUE!</v>
      </c>
      <c r="AF2" t="e">
        <f>AND('Data '!G8,"AAAAAHfBvh8=")</f>
        <v>#VALUE!</v>
      </c>
      <c r="AG2" t="e">
        <f>AND('Data '!H8,"AAAAAHfBviA=")</f>
        <v>#VALUE!</v>
      </c>
      <c r="AH2" t="e">
        <f>AND('Data '!I8,"AAAAAHfBviE=")</f>
        <v>#VALUE!</v>
      </c>
      <c r="AI2" t="e">
        <f>AND('Data '!J8,"AAAAAHfBviI=")</f>
        <v>#VALUE!</v>
      </c>
      <c r="AJ2" t="e">
        <f>AND('Data '!K8,"AAAAAHfBviM=")</f>
        <v>#VALUE!</v>
      </c>
      <c r="AK2" t="e">
        <f>AND('Data '!L8,"AAAAAHfBviQ=")</f>
        <v>#VALUE!</v>
      </c>
      <c r="AL2" t="e">
        <f>AND('Data '!M8,"AAAAAHfBviU=")</f>
        <v>#VALUE!</v>
      </c>
      <c r="AM2" t="e">
        <f>AND('Data '!N8,"AAAAAHfBviY=")</f>
        <v>#VALUE!</v>
      </c>
      <c r="AN2" t="e">
        <f>AND('Data '!O8,"AAAAAHfBvic=")</f>
        <v>#VALUE!</v>
      </c>
      <c r="AO2" t="e">
        <f>AND('Data '!P8,"AAAAAHfBvig=")</f>
        <v>#VALUE!</v>
      </c>
      <c r="AP2" t="e">
        <f>AND('Data '!Q8,"AAAAAHfBvik=")</f>
        <v>#VALUE!</v>
      </c>
      <c r="AQ2" t="e">
        <f>AND('Data '!R8,"AAAAAHfBvio=")</f>
        <v>#VALUE!</v>
      </c>
      <c r="AR2" t="e">
        <f>AND('Data '!S8,"AAAAAHfBvis=")</f>
        <v>#VALUE!</v>
      </c>
      <c r="AS2" t="e">
        <f>AND('Data '!T8,"AAAAAHfBviw=")</f>
        <v>#VALUE!</v>
      </c>
      <c r="AT2" t="e">
        <f>AND('Data '!U8,"AAAAAHfBvi0=")</f>
        <v>#VALUE!</v>
      </c>
      <c r="AU2" t="e">
        <f>AND('Data '!V8,"AAAAAHfBvi4=")</f>
        <v>#VALUE!</v>
      </c>
      <c r="AV2" t="e">
        <f>AND('Data '!W8,"AAAAAHfBvi8=")</f>
        <v>#VALUE!</v>
      </c>
      <c r="AW2" t="e">
        <f>AND('Data '!X8,"AAAAAHfBvjA=")</f>
        <v>#VALUE!</v>
      </c>
      <c r="AX2" t="e">
        <f>AND('Data '!Y8,"AAAAAHfBvjE=")</f>
        <v>#VALUE!</v>
      </c>
      <c r="AY2" t="e">
        <f>AND('Data '!Z8,"AAAAAHfBvjI=")</f>
        <v>#VALUE!</v>
      </c>
      <c r="AZ2" t="e">
        <f>AND('Data '!AA8,"AAAAAHfBvjM=")</f>
        <v>#VALUE!</v>
      </c>
      <c r="BA2" t="e">
        <f>AND('Data '!AB8,"AAAAAHfBvjQ=")</f>
        <v>#VALUE!</v>
      </c>
      <c r="BB2" t="e">
        <f>AND('Data '!AC8,"AAAAAHfBvjU=")</f>
        <v>#VALUE!</v>
      </c>
      <c r="BC2" t="e">
        <f>AND('Data '!#REF!,"AAAAAHfBvjY=")</f>
        <v>#REF!</v>
      </c>
      <c r="BD2" t="e">
        <f>AND('Data '!#REF!,"AAAAAHfBvjc=")</f>
        <v>#REF!</v>
      </c>
      <c r="BE2" t="e">
        <f>AND('Data '!#REF!,"AAAAAHfBvjg=")</f>
        <v>#REF!</v>
      </c>
      <c r="BF2" t="e">
        <f>AND('Data '!#REF!,"AAAAAHfBvjk=")</f>
        <v>#REF!</v>
      </c>
      <c r="BG2" t="e">
        <f>AND('Data '!#REF!,"AAAAAHfBvjo=")</f>
        <v>#REF!</v>
      </c>
      <c r="BH2" t="e">
        <f>AND('Data '!#REF!,"AAAAAHfBvjs=")</f>
        <v>#REF!</v>
      </c>
      <c r="BI2" t="e">
        <f>AND('Data '!#REF!,"AAAAAHfBvjw=")</f>
        <v>#REF!</v>
      </c>
      <c r="BJ2" t="e">
        <f>AND('Data '!#REF!,"AAAAAHfBvj0=")</f>
        <v>#REF!</v>
      </c>
      <c r="BK2" t="e">
        <f>AND('Data '!#REF!,"AAAAAHfBvj4=")</f>
        <v>#REF!</v>
      </c>
      <c r="BL2" t="e">
        <f>AND('Data '!#REF!,"AAAAAHfBvj8=")</f>
        <v>#REF!</v>
      </c>
      <c r="BM2">
        <f>IF('Data '!9:9,"AAAAAHfBvkA=",0)</f>
        <v>0</v>
      </c>
      <c r="BN2" t="e">
        <f>AND('Data '!A9,"AAAAAHfBvkE=")</f>
        <v>#VALUE!</v>
      </c>
      <c r="BO2" t="e">
        <f>AND('Data '!B9,"AAAAAHfBvkI=")</f>
        <v>#VALUE!</v>
      </c>
      <c r="BP2" t="e">
        <f>AND('Data '!C9,"AAAAAHfBvkM=")</f>
        <v>#VALUE!</v>
      </c>
      <c r="BQ2" t="e">
        <f>AND('Data '!D9,"AAAAAHfBvkQ=")</f>
        <v>#VALUE!</v>
      </c>
      <c r="BR2" t="e">
        <f>AND('Data '!E9,"AAAAAHfBvkU=")</f>
        <v>#VALUE!</v>
      </c>
      <c r="BS2" t="e">
        <f>AND('Data '!F9,"AAAAAHfBvkY=")</f>
        <v>#VALUE!</v>
      </c>
      <c r="BT2" t="e">
        <f>AND('Data '!G9,"AAAAAHfBvkc=")</f>
        <v>#VALUE!</v>
      </c>
      <c r="BU2" t="e">
        <f>AND('Data '!H9,"AAAAAHfBvkg=")</f>
        <v>#VALUE!</v>
      </c>
      <c r="BV2" t="e">
        <f>AND('Data '!I9,"AAAAAHfBvkk=")</f>
        <v>#VALUE!</v>
      </c>
      <c r="BW2" t="e">
        <f>AND('Data '!J9,"AAAAAHfBvko=")</f>
        <v>#VALUE!</v>
      </c>
      <c r="BX2" t="e">
        <f>AND('Data '!K9,"AAAAAHfBvks=")</f>
        <v>#VALUE!</v>
      </c>
      <c r="BY2" t="e">
        <f>AND('Data '!L9,"AAAAAHfBvkw=")</f>
        <v>#VALUE!</v>
      </c>
      <c r="BZ2" t="e">
        <f>AND('Data '!M9,"AAAAAHfBvk0=")</f>
        <v>#VALUE!</v>
      </c>
      <c r="CA2" t="e">
        <f>AND('Data '!N9,"AAAAAHfBvk4=")</f>
        <v>#VALUE!</v>
      </c>
      <c r="CB2" t="e">
        <f>AND('Data '!O9,"AAAAAHfBvk8=")</f>
        <v>#VALUE!</v>
      </c>
      <c r="CC2" t="e">
        <f>AND('Data '!P9,"AAAAAHfBvlA=")</f>
        <v>#VALUE!</v>
      </c>
      <c r="CD2" t="e">
        <f>AND('Data '!Q9,"AAAAAHfBvlE=")</f>
        <v>#VALUE!</v>
      </c>
      <c r="CE2" t="e">
        <f>AND('Data '!R9,"AAAAAHfBvlI=")</f>
        <v>#VALUE!</v>
      </c>
      <c r="CF2" t="e">
        <f>AND('Data '!S9,"AAAAAHfBvlM=")</f>
        <v>#VALUE!</v>
      </c>
      <c r="CG2" t="e">
        <f>AND('Data '!T9,"AAAAAHfBvlQ=")</f>
        <v>#VALUE!</v>
      </c>
      <c r="CH2" t="e">
        <f>AND('Data '!U9,"AAAAAHfBvlU=")</f>
        <v>#VALUE!</v>
      </c>
      <c r="CI2" t="e">
        <f>AND('Data '!V9,"AAAAAHfBvlY=")</f>
        <v>#VALUE!</v>
      </c>
      <c r="CJ2" t="e">
        <f>AND('Data '!W9,"AAAAAHfBvlc=")</f>
        <v>#VALUE!</v>
      </c>
      <c r="CK2" t="e">
        <f>AND('Data '!X9,"AAAAAHfBvlg=")</f>
        <v>#VALUE!</v>
      </c>
      <c r="CL2" t="e">
        <f>AND('Data '!Y9,"AAAAAHfBvlk=")</f>
        <v>#VALUE!</v>
      </c>
      <c r="CM2" t="e">
        <f>AND('Data '!Z9,"AAAAAHfBvlo=")</f>
        <v>#VALUE!</v>
      </c>
      <c r="CN2" t="e">
        <f>AND('Data '!AA9,"AAAAAHfBvls=")</f>
        <v>#VALUE!</v>
      </c>
      <c r="CO2" t="e">
        <f>AND('Data '!AB9,"AAAAAHfBvlw=")</f>
        <v>#VALUE!</v>
      </c>
      <c r="CP2" t="e">
        <f>AND('Data '!AC9,"AAAAAHfBvl0=")</f>
        <v>#VALUE!</v>
      </c>
      <c r="CQ2" t="e">
        <f>AND('Data '!#REF!,"AAAAAHfBvl4=")</f>
        <v>#REF!</v>
      </c>
      <c r="CR2" t="e">
        <f>AND('Data '!#REF!,"AAAAAHfBvl8=")</f>
        <v>#REF!</v>
      </c>
      <c r="CS2" t="e">
        <f>AND('Data '!#REF!,"AAAAAHfBvmA=")</f>
        <v>#REF!</v>
      </c>
      <c r="CT2" t="e">
        <f>AND('Data '!#REF!,"AAAAAHfBvmE=")</f>
        <v>#REF!</v>
      </c>
      <c r="CU2" t="e">
        <f>AND('Data '!#REF!,"AAAAAHfBvmI=")</f>
        <v>#REF!</v>
      </c>
      <c r="CV2" t="e">
        <f>AND('Data '!#REF!,"AAAAAHfBvmM=")</f>
        <v>#REF!</v>
      </c>
      <c r="CW2" t="e">
        <f>AND('Data '!#REF!,"AAAAAHfBvmQ=")</f>
        <v>#REF!</v>
      </c>
      <c r="CX2" t="e">
        <f>AND('Data '!#REF!,"AAAAAHfBvmU=")</f>
        <v>#REF!</v>
      </c>
      <c r="CY2" t="e">
        <f>AND('Data '!#REF!,"AAAAAHfBvmY=")</f>
        <v>#REF!</v>
      </c>
      <c r="CZ2" t="e">
        <f>AND('Data '!#REF!,"AAAAAHfBvmc=")</f>
        <v>#REF!</v>
      </c>
      <c r="DA2">
        <f>IF('Data '!10:10,"AAAAAHfBvmg=",0)</f>
        <v>0</v>
      </c>
      <c r="DB2" t="e">
        <f>AND('Data '!A10,"AAAAAHfBvmk=")</f>
        <v>#VALUE!</v>
      </c>
      <c r="DC2" t="e">
        <f>AND('Data '!B10,"AAAAAHfBvmo=")</f>
        <v>#VALUE!</v>
      </c>
      <c r="DD2" t="e">
        <f>AND('Data '!C10,"AAAAAHfBvms=")</f>
        <v>#VALUE!</v>
      </c>
      <c r="DE2" t="e">
        <f>AND('Data '!D10,"AAAAAHfBvmw=")</f>
        <v>#VALUE!</v>
      </c>
      <c r="DF2" t="e">
        <f>AND('Data '!E10,"AAAAAHfBvm0=")</f>
        <v>#VALUE!</v>
      </c>
      <c r="DG2" t="e">
        <f>AND('Data '!F10,"AAAAAHfBvm4=")</f>
        <v>#VALUE!</v>
      </c>
      <c r="DH2" t="e">
        <f>AND('Data '!G10,"AAAAAHfBvm8=")</f>
        <v>#VALUE!</v>
      </c>
      <c r="DI2" t="e">
        <f>AND('Data '!H10,"AAAAAHfBvnA=")</f>
        <v>#VALUE!</v>
      </c>
      <c r="DJ2" t="e">
        <f>AND('Data '!I10,"AAAAAHfBvnE=")</f>
        <v>#VALUE!</v>
      </c>
      <c r="DK2" t="e">
        <f>AND('Data '!J10,"AAAAAHfBvnI=")</f>
        <v>#VALUE!</v>
      </c>
      <c r="DL2" t="e">
        <f>AND('Data '!K10,"AAAAAHfBvnM=")</f>
        <v>#VALUE!</v>
      </c>
      <c r="DM2" t="e">
        <f>AND('Data '!L10,"AAAAAHfBvnQ=")</f>
        <v>#VALUE!</v>
      </c>
      <c r="DN2" t="e">
        <f>AND('Data '!M10,"AAAAAHfBvnU=")</f>
        <v>#VALUE!</v>
      </c>
      <c r="DO2" t="e">
        <f>AND('Data '!N10,"AAAAAHfBvnY=")</f>
        <v>#VALUE!</v>
      </c>
      <c r="DP2" t="e">
        <f>AND('Data '!O10,"AAAAAHfBvnc=")</f>
        <v>#VALUE!</v>
      </c>
      <c r="DQ2" t="e">
        <f>AND('Data '!P10,"AAAAAHfBvng=")</f>
        <v>#VALUE!</v>
      </c>
      <c r="DR2" t="e">
        <f>AND('Data '!Q10,"AAAAAHfBvnk=")</f>
        <v>#VALUE!</v>
      </c>
      <c r="DS2" t="e">
        <f>AND('Data '!R10,"AAAAAHfBvno=")</f>
        <v>#VALUE!</v>
      </c>
      <c r="DT2" t="e">
        <f>AND('Data '!S10,"AAAAAHfBvns=")</f>
        <v>#VALUE!</v>
      </c>
      <c r="DU2" t="e">
        <f>AND('Data '!T10,"AAAAAHfBvnw=")</f>
        <v>#VALUE!</v>
      </c>
      <c r="DV2" t="e">
        <f>AND('Data '!U10,"AAAAAHfBvn0=")</f>
        <v>#VALUE!</v>
      </c>
      <c r="DW2" t="e">
        <f>AND('Data '!V10,"AAAAAHfBvn4=")</f>
        <v>#VALUE!</v>
      </c>
      <c r="DX2" t="e">
        <f>AND('Data '!W10,"AAAAAHfBvn8=")</f>
        <v>#VALUE!</v>
      </c>
      <c r="DY2" t="e">
        <f>AND('Data '!X10,"AAAAAHfBvoA=")</f>
        <v>#VALUE!</v>
      </c>
      <c r="DZ2" t="e">
        <f>AND('Data '!Y10,"AAAAAHfBvoE=")</f>
        <v>#VALUE!</v>
      </c>
      <c r="EA2" t="e">
        <f>AND('Data '!Z10,"AAAAAHfBvoI=")</f>
        <v>#VALUE!</v>
      </c>
      <c r="EB2" t="e">
        <f>AND('Data '!AA10,"AAAAAHfBvoM=")</f>
        <v>#VALUE!</v>
      </c>
      <c r="EC2" t="e">
        <f>AND('Data '!AB10,"AAAAAHfBvoQ=")</f>
        <v>#VALUE!</v>
      </c>
      <c r="ED2" t="e">
        <f>AND('Data '!AC10,"AAAAAHfBvoU=")</f>
        <v>#VALUE!</v>
      </c>
      <c r="EE2" t="e">
        <f>AND('Data '!#REF!,"AAAAAHfBvoY=")</f>
        <v>#REF!</v>
      </c>
      <c r="EF2" t="e">
        <f>AND('Data '!#REF!,"AAAAAHfBvoc=")</f>
        <v>#REF!</v>
      </c>
      <c r="EG2" t="e">
        <f>AND('Data '!#REF!,"AAAAAHfBvog=")</f>
        <v>#REF!</v>
      </c>
      <c r="EH2" t="e">
        <f>AND('Data '!#REF!,"AAAAAHfBvok=")</f>
        <v>#REF!</v>
      </c>
      <c r="EI2" t="e">
        <f>AND('Data '!#REF!,"AAAAAHfBvoo=")</f>
        <v>#REF!</v>
      </c>
      <c r="EJ2" t="e">
        <f>AND('Data '!#REF!,"AAAAAHfBvos=")</f>
        <v>#REF!</v>
      </c>
      <c r="EK2" t="e">
        <f>AND('Data '!#REF!,"AAAAAHfBvow=")</f>
        <v>#REF!</v>
      </c>
      <c r="EL2" t="e">
        <f>AND('Data '!#REF!,"AAAAAHfBvo0=")</f>
        <v>#REF!</v>
      </c>
      <c r="EM2" t="e">
        <f>AND('Data '!#REF!,"AAAAAHfBvo4=")</f>
        <v>#REF!</v>
      </c>
      <c r="EN2" t="e">
        <f>AND('Data '!#REF!,"AAAAAHfBvo8=")</f>
        <v>#REF!</v>
      </c>
      <c r="EO2">
        <f>IF('Data '!11:11,"AAAAAHfBvpA=",0)</f>
        <v>0</v>
      </c>
      <c r="EP2" t="e">
        <f>AND('Data '!A11,"AAAAAHfBvpE=")</f>
        <v>#VALUE!</v>
      </c>
      <c r="EQ2" t="e">
        <f>AND('Data '!B11,"AAAAAHfBvpI=")</f>
        <v>#VALUE!</v>
      </c>
      <c r="ER2" t="e">
        <f>AND('Data '!C11,"AAAAAHfBvpM=")</f>
        <v>#VALUE!</v>
      </c>
      <c r="ES2" t="e">
        <f>AND('Data '!D11,"AAAAAHfBvpQ=")</f>
        <v>#VALUE!</v>
      </c>
      <c r="ET2" t="e">
        <f>AND('Data '!E11,"AAAAAHfBvpU=")</f>
        <v>#VALUE!</v>
      </c>
      <c r="EU2" t="e">
        <f>AND('Data '!F11,"AAAAAHfBvpY=")</f>
        <v>#VALUE!</v>
      </c>
      <c r="EV2" t="e">
        <f>AND('Data '!G11,"AAAAAHfBvpc=")</f>
        <v>#VALUE!</v>
      </c>
      <c r="EW2" t="e">
        <f>AND('Data '!H11,"AAAAAHfBvpg=")</f>
        <v>#VALUE!</v>
      </c>
      <c r="EX2" t="e">
        <f>AND('Data '!I11,"AAAAAHfBvpk=")</f>
        <v>#VALUE!</v>
      </c>
      <c r="EY2" t="e">
        <f>AND('Data '!J11,"AAAAAHfBvpo=")</f>
        <v>#VALUE!</v>
      </c>
      <c r="EZ2" t="e">
        <f>AND('Data '!K11,"AAAAAHfBvps=")</f>
        <v>#VALUE!</v>
      </c>
      <c r="FA2" t="e">
        <f>AND('Data '!L11,"AAAAAHfBvpw=")</f>
        <v>#VALUE!</v>
      </c>
      <c r="FB2" t="e">
        <f>AND('Data '!M11,"AAAAAHfBvp0=")</f>
        <v>#VALUE!</v>
      </c>
      <c r="FC2" t="e">
        <f>AND('Data '!N11,"AAAAAHfBvp4=")</f>
        <v>#VALUE!</v>
      </c>
      <c r="FD2" t="e">
        <f>AND('Data '!O11,"AAAAAHfBvp8=")</f>
        <v>#VALUE!</v>
      </c>
      <c r="FE2" t="e">
        <f>AND('Data '!P11,"AAAAAHfBvqA=")</f>
        <v>#VALUE!</v>
      </c>
      <c r="FF2" t="e">
        <f>AND('Data '!Q11,"AAAAAHfBvqE=")</f>
        <v>#VALUE!</v>
      </c>
      <c r="FG2" t="e">
        <f>AND('Data '!R11,"AAAAAHfBvqI=")</f>
        <v>#VALUE!</v>
      </c>
      <c r="FH2" t="e">
        <f>AND('Data '!S11,"AAAAAHfBvqM=")</f>
        <v>#VALUE!</v>
      </c>
      <c r="FI2" t="e">
        <f>AND('Data '!T11,"AAAAAHfBvqQ=")</f>
        <v>#VALUE!</v>
      </c>
      <c r="FJ2" t="e">
        <f>AND('Data '!U11,"AAAAAHfBvqU=")</f>
        <v>#VALUE!</v>
      </c>
      <c r="FK2" t="e">
        <f>AND('Data '!V11,"AAAAAHfBvqY=")</f>
        <v>#VALUE!</v>
      </c>
      <c r="FL2" t="e">
        <f>AND('Data '!W11,"AAAAAHfBvqc=")</f>
        <v>#VALUE!</v>
      </c>
      <c r="FM2" t="e">
        <f>AND('Data '!X11,"AAAAAHfBvqg=")</f>
        <v>#VALUE!</v>
      </c>
      <c r="FN2" t="e">
        <f>AND('Data '!Y11,"AAAAAHfBvqk=")</f>
        <v>#VALUE!</v>
      </c>
      <c r="FO2" t="e">
        <f>AND('Data '!Z11,"AAAAAHfBvqo=")</f>
        <v>#VALUE!</v>
      </c>
      <c r="FP2" t="e">
        <f>AND('Data '!AA11,"AAAAAHfBvqs=")</f>
        <v>#VALUE!</v>
      </c>
      <c r="FQ2" t="e">
        <f>AND('Data '!AB11,"AAAAAHfBvqw=")</f>
        <v>#VALUE!</v>
      </c>
      <c r="FR2" t="e">
        <f>AND('Data '!AC11,"AAAAAHfBvq0=")</f>
        <v>#VALUE!</v>
      </c>
      <c r="FS2" t="e">
        <f>AND('Data '!#REF!,"AAAAAHfBvq4=")</f>
        <v>#REF!</v>
      </c>
      <c r="FT2" t="e">
        <f>AND('Data '!#REF!,"AAAAAHfBvq8=")</f>
        <v>#REF!</v>
      </c>
      <c r="FU2" t="e">
        <f>AND('Data '!#REF!,"AAAAAHfBvrA=")</f>
        <v>#REF!</v>
      </c>
      <c r="FV2" t="e">
        <f>AND('Data '!#REF!,"AAAAAHfBvrE=")</f>
        <v>#REF!</v>
      </c>
      <c r="FW2" t="e">
        <f>AND('Data '!#REF!,"AAAAAHfBvrI=")</f>
        <v>#REF!</v>
      </c>
      <c r="FX2" t="e">
        <f>AND('Data '!#REF!,"AAAAAHfBvrM=")</f>
        <v>#REF!</v>
      </c>
      <c r="FY2" t="e">
        <f>AND('Data '!#REF!,"AAAAAHfBvrQ=")</f>
        <v>#REF!</v>
      </c>
      <c r="FZ2" t="e">
        <f>AND('Data '!#REF!,"AAAAAHfBvrU=")</f>
        <v>#REF!</v>
      </c>
      <c r="GA2" t="e">
        <f>AND('Data '!#REF!,"AAAAAHfBvrY=")</f>
        <v>#REF!</v>
      </c>
      <c r="GB2" t="e">
        <f>AND('Data '!#REF!,"AAAAAHfBvrc=")</f>
        <v>#REF!</v>
      </c>
      <c r="GC2">
        <f>IF('Data '!12:12,"AAAAAHfBvrg=",0)</f>
        <v>0</v>
      </c>
      <c r="GD2" t="e">
        <f>AND('Data '!A12,"AAAAAHfBvrk=")</f>
        <v>#VALUE!</v>
      </c>
      <c r="GE2" t="e">
        <f>AND('Data '!B12,"AAAAAHfBvro=")</f>
        <v>#VALUE!</v>
      </c>
      <c r="GF2" t="e">
        <f>AND('Data '!C12,"AAAAAHfBvrs=")</f>
        <v>#VALUE!</v>
      </c>
      <c r="GG2" t="e">
        <f>AND('Data '!D12,"AAAAAHfBvrw=")</f>
        <v>#VALUE!</v>
      </c>
      <c r="GH2" t="e">
        <f>AND('Data '!E12,"AAAAAHfBvr0=")</f>
        <v>#VALUE!</v>
      </c>
      <c r="GI2" t="e">
        <f>AND('Data '!F12,"AAAAAHfBvr4=")</f>
        <v>#VALUE!</v>
      </c>
      <c r="GJ2" t="e">
        <f>AND('Data '!G12,"AAAAAHfBvr8=")</f>
        <v>#VALUE!</v>
      </c>
      <c r="GK2" t="e">
        <f>AND('Data '!H12,"AAAAAHfBvsA=")</f>
        <v>#VALUE!</v>
      </c>
      <c r="GL2" t="e">
        <f>AND('Data '!I12,"AAAAAHfBvsE=")</f>
        <v>#VALUE!</v>
      </c>
      <c r="GM2" t="e">
        <f>AND('Data '!J12,"AAAAAHfBvsI=")</f>
        <v>#VALUE!</v>
      </c>
      <c r="GN2" t="e">
        <f>AND('Data '!K12,"AAAAAHfBvsM=")</f>
        <v>#VALUE!</v>
      </c>
      <c r="GO2" t="e">
        <f>AND('Data '!L12,"AAAAAHfBvsQ=")</f>
        <v>#VALUE!</v>
      </c>
      <c r="GP2" t="e">
        <f>AND('Data '!M12,"AAAAAHfBvsU=")</f>
        <v>#VALUE!</v>
      </c>
      <c r="GQ2" t="e">
        <f>AND('Data '!N12,"AAAAAHfBvsY=")</f>
        <v>#VALUE!</v>
      </c>
      <c r="GR2" t="e">
        <f>AND('Data '!O12,"AAAAAHfBvsc=")</f>
        <v>#VALUE!</v>
      </c>
      <c r="GS2" t="e">
        <f>AND('Data '!P12,"AAAAAHfBvsg=")</f>
        <v>#VALUE!</v>
      </c>
      <c r="GT2" t="e">
        <f>AND('Data '!Q12,"AAAAAHfBvsk=")</f>
        <v>#VALUE!</v>
      </c>
      <c r="GU2" t="e">
        <f>AND('Data '!R12,"AAAAAHfBvso=")</f>
        <v>#VALUE!</v>
      </c>
      <c r="GV2" t="e">
        <f>AND('Data '!S12,"AAAAAHfBvss=")</f>
        <v>#VALUE!</v>
      </c>
      <c r="GW2" t="e">
        <f>AND('Data '!T12,"AAAAAHfBvsw=")</f>
        <v>#VALUE!</v>
      </c>
      <c r="GX2" t="e">
        <f>AND('Data '!U12,"AAAAAHfBvs0=")</f>
        <v>#VALUE!</v>
      </c>
      <c r="GY2" t="e">
        <f>AND('Data '!V12,"AAAAAHfBvs4=")</f>
        <v>#VALUE!</v>
      </c>
      <c r="GZ2" t="e">
        <f>AND('Data '!W12,"AAAAAHfBvs8=")</f>
        <v>#VALUE!</v>
      </c>
      <c r="HA2" t="e">
        <f>AND('Data '!X12,"AAAAAHfBvtA=")</f>
        <v>#VALUE!</v>
      </c>
      <c r="HB2" t="e">
        <f>AND('Data '!Y12,"AAAAAHfBvtE=")</f>
        <v>#VALUE!</v>
      </c>
      <c r="HC2" t="e">
        <f>AND('Data '!Z12,"AAAAAHfBvtI=")</f>
        <v>#VALUE!</v>
      </c>
      <c r="HD2" t="e">
        <f>AND('Data '!AA12,"AAAAAHfBvtM=")</f>
        <v>#VALUE!</v>
      </c>
      <c r="HE2" t="e">
        <f>AND('Data '!AB12,"AAAAAHfBvtQ=")</f>
        <v>#VALUE!</v>
      </c>
      <c r="HF2" t="e">
        <f>AND('Data '!AC12,"AAAAAHfBvtU=")</f>
        <v>#VALUE!</v>
      </c>
      <c r="HG2" t="e">
        <f>AND('Data '!#REF!,"AAAAAHfBvtY=")</f>
        <v>#REF!</v>
      </c>
      <c r="HH2" t="e">
        <f>AND('Data '!#REF!,"AAAAAHfBvtc=")</f>
        <v>#REF!</v>
      </c>
      <c r="HI2" t="e">
        <f>AND('Data '!#REF!,"AAAAAHfBvtg=")</f>
        <v>#REF!</v>
      </c>
      <c r="HJ2" t="e">
        <f>AND('Data '!#REF!,"AAAAAHfBvtk=")</f>
        <v>#REF!</v>
      </c>
      <c r="HK2" t="e">
        <f>AND('Data '!#REF!,"AAAAAHfBvto=")</f>
        <v>#REF!</v>
      </c>
      <c r="HL2" t="e">
        <f>AND('Data '!#REF!,"AAAAAHfBvts=")</f>
        <v>#REF!</v>
      </c>
      <c r="HM2" t="e">
        <f>AND('Data '!#REF!,"AAAAAHfBvtw=")</f>
        <v>#REF!</v>
      </c>
      <c r="HN2" t="e">
        <f>AND('Data '!#REF!,"AAAAAHfBvt0=")</f>
        <v>#REF!</v>
      </c>
      <c r="HO2" t="e">
        <f>AND('Data '!#REF!,"AAAAAHfBvt4=")</f>
        <v>#REF!</v>
      </c>
      <c r="HP2" t="e">
        <f>AND('Data '!#REF!,"AAAAAHfBvt8=")</f>
        <v>#REF!</v>
      </c>
      <c r="HQ2">
        <f>IF('Data '!13:13,"AAAAAHfBvuA=",0)</f>
        <v>0</v>
      </c>
      <c r="HR2" t="e">
        <f>AND('Data '!A13,"AAAAAHfBvuE=")</f>
        <v>#VALUE!</v>
      </c>
      <c r="HS2" t="e">
        <f>AND('Data '!B13,"AAAAAHfBvuI=")</f>
        <v>#VALUE!</v>
      </c>
      <c r="HT2" t="e">
        <f>AND('Data '!C13,"AAAAAHfBvuM=")</f>
        <v>#VALUE!</v>
      </c>
      <c r="HU2" t="e">
        <f>AND('Data '!D13,"AAAAAHfBvuQ=")</f>
        <v>#VALUE!</v>
      </c>
      <c r="HV2" t="e">
        <f>AND('Data '!E13,"AAAAAHfBvuU=")</f>
        <v>#VALUE!</v>
      </c>
      <c r="HW2" t="e">
        <f>AND('Data '!F13,"AAAAAHfBvuY=")</f>
        <v>#VALUE!</v>
      </c>
      <c r="HX2" t="e">
        <f>AND('Data '!G13,"AAAAAHfBvuc=")</f>
        <v>#VALUE!</v>
      </c>
      <c r="HY2" t="e">
        <f>AND('Data '!H13,"AAAAAHfBvug=")</f>
        <v>#VALUE!</v>
      </c>
      <c r="HZ2" t="e">
        <f>AND('Data '!I13,"AAAAAHfBvuk=")</f>
        <v>#VALUE!</v>
      </c>
      <c r="IA2" t="e">
        <f>AND('Data '!J13,"AAAAAHfBvuo=")</f>
        <v>#VALUE!</v>
      </c>
      <c r="IB2" t="e">
        <f>AND('Data '!K13,"AAAAAHfBvus=")</f>
        <v>#VALUE!</v>
      </c>
      <c r="IC2" t="e">
        <f>AND('Data '!L13,"AAAAAHfBvuw=")</f>
        <v>#VALUE!</v>
      </c>
      <c r="ID2" t="e">
        <f>AND('Data '!M13,"AAAAAHfBvu0=")</f>
        <v>#VALUE!</v>
      </c>
      <c r="IE2" t="e">
        <f>AND('Data '!N13,"AAAAAHfBvu4=")</f>
        <v>#VALUE!</v>
      </c>
      <c r="IF2" t="e">
        <f>AND('Data '!O13,"AAAAAHfBvu8=")</f>
        <v>#VALUE!</v>
      </c>
      <c r="IG2" t="e">
        <f>AND('Data '!P13,"AAAAAHfBvvA=")</f>
        <v>#VALUE!</v>
      </c>
      <c r="IH2" t="e">
        <f>AND('Data '!Q13,"AAAAAHfBvvE=")</f>
        <v>#VALUE!</v>
      </c>
      <c r="II2" t="e">
        <f>AND('Data '!R13,"AAAAAHfBvvI=")</f>
        <v>#VALUE!</v>
      </c>
      <c r="IJ2" t="e">
        <f>AND('Data '!S13,"AAAAAHfBvvM=")</f>
        <v>#VALUE!</v>
      </c>
      <c r="IK2" t="e">
        <f>AND('Data '!T13,"AAAAAHfBvvQ=")</f>
        <v>#VALUE!</v>
      </c>
      <c r="IL2" t="e">
        <f>AND('Data '!U13,"AAAAAHfBvvU=")</f>
        <v>#VALUE!</v>
      </c>
      <c r="IM2" t="e">
        <f>AND('Data '!V13,"AAAAAHfBvvY=")</f>
        <v>#VALUE!</v>
      </c>
      <c r="IN2" t="e">
        <f>AND('Data '!W13,"AAAAAHfBvvc=")</f>
        <v>#VALUE!</v>
      </c>
      <c r="IO2" t="e">
        <f>AND('Data '!X13,"AAAAAHfBvvg=")</f>
        <v>#VALUE!</v>
      </c>
      <c r="IP2" t="e">
        <f>AND('Data '!Y13,"AAAAAHfBvvk=")</f>
        <v>#VALUE!</v>
      </c>
      <c r="IQ2" t="e">
        <f>AND('Data '!Z13,"AAAAAHfBvvo=")</f>
        <v>#VALUE!</v>
      </c>
      <c r="IR2" t="e">
        <f>AND('Data '!AA13,"AAAAAHfBvvs=")</f>
        <v>#VALUE!</v>
      </c>
      <c r="IS2" t="e">
        <f>AND('Data '!AB13,"AAAAAHfBvvw=")</f>
        <v>#VALUE!</v>
      </c>
      <c r="IT2" t="e">
        <f>AND('Data '!AC13,"AAAAAHfBvv0=")</f>
        <v>#VALUE!</v>
      </c>
      <c r="IU2" t="e">
        <f>AND('Data '!#REF!,"AAAAAHfBvv4=")</f>
        <v>#REF!</v>
      </c>
      <c r="IV2" t="e">
        <f>AND('Data '!#REF!,"AAAAAHfBvv8=")</f>
        <v>#REF!</v>
      </c>
    </row>
    <row r="3" spans="1:256" x14ac:dyDescent="0.25">
      <c r="A3" t="e">
        <f>AND('Data '!#REF!,"AAAAAHa7/wA=")</f>
        <v>#REF!</v>
      </c>
      <c r="B3" t="e">
        <f>AND('Data '!#REF!,"AAAAAHa7/wE=")</f>
        <v>#REF!</v>
      </c>
      <c r="C3" t="e">
        <f>AND('Data '!#REF!,"AAAAAHa7/wI=")</f>
        <v>#REF!</v>
      </c>
      <c r="D3" t="e">
        <f>AND('Data '!#REF!,"AAAAAHa7/wM=")</f>
        <v>#REF!</v>
      </c>
      <c r="E3" t="e">
        <f>AND('Data '!#REF!,"AAAAAHa7/wQ=")</f>
        <v>#REF!</v>
      </c>
      <c r="F3" t="e">
        <f>AND('Data '!#REF!,"AAAAAHa7/wU=")</f>
        <v>#REF!</v>
      </c>
      <c r="G3" t="e">
        <f>AND('Data '!#REF!,"AAAAAHa7/wY=")</f>
        <v>#REF!</v>
      </c>
      <c r="H3" t="e">
        <f>AND('Data '!#REF!,"AAAAAHa7/wc=")</f>
        <v>#REF!</v>
      </c>
      <c r="I3">
        <f>IF('Data '!14:14,"AAAAAHa7/wg=",0)</f>
        <v>0</v>
      </c>
      <c r="J3" t="e">
        <f>AND('Data '!A14,"AAAAAHa7/wk=")</f>
        <v>#VALUE!</v>
      </c>
      <c r="K3" t="e">
        <f>AND('Data '!B14,"AAAAAHa7/wo=")</f>
        <v>#VALUE!</v>
      </c>
      <c r="L3" t="e">
        <f>AND('Data '!C14,"AAAAAHa7/ws=")</f>
        <v>#VALUE!</v>
      </c>
      <c r="M3" t="e">
        <f>AND('Data '!D14,"AAAAAHa7/ww=")</f>
        <v>#VALUE!</v>
      </c>
      <c r="N3" t="e">
        <f>AND('Data '!E14,"AAAAAHa7/w0=")</f>
        <v>#VALUE!</v>
      </c>
      <c r="O3" t="e">
        <f>AND('Data '!F14,"AAAAAHa7/w4=")</f>
        <v>#VALUE!</v>
      </c>
      <c r="P3" t="e">
        <f>AND('Data '!G14,"AAAAAHa7/w8=")</f>
        <v>#VALUE!</v>
      </c>
      <c r="Q3" t="e">
        <f>AND('Data '!H14,"AAAAAHa7/xA=")</f>
        <v>#VALUE!</v>
      </c>
      <c r="R3" t="e">
        <f>AND('Data '!I14,"AAAAAHa7/xE=")</f>
        <v>#VALUE!</v>
      </c>
      <c r="S3" t="e">
        <f>AND('Data '!J14,"AAAAAHa7/xI=")</f>
        <v>#VALUE!</v>
      </c>
      <c r="T3" t="e">
        <f>AND('Data '!K14,"AAAAAHa7/xM=")</f>
        <v>#VALUE!</v>
      </c>
      <c r="U3" t="e">
        <f>AND('Data '!L14,"AAAAAHa7/xQ=")</f>
        <v>#VALUE!</v>
      </c>
      <c r="V3" t="e">
        <f>AND('Data '!M14,"AAAAAHa7/xU=")</f>
        <v>#VALUE!</v>
      </c>
      <c r="W3" t="e">
        <f>AND('Data '!N14,"AAAAAHa7/xY=")</f>
        <v>#VALUE!</v>
      </c>
      <c r="X3" t="e">
        <f>AND('Data '!O14,"AAAAAHa7/xc=")</f>
        <v>#VALUE!</v>
      </c>
      <c r="Y3" t="e">
        <f>AND('Data '!P14,"AAAAAHa7/xg=")</f>
        <v>#VALUE!</v>
      </c>
      <c r="Z3" t="e">
        <f>AND('Data '!Q14,"AAAAAHa7/xk=")</f>
        <v>#VALUE!</v>
      </c>
      <c r="AA3" t="e">
        <f>AND('Data '!R14,"AAAAAHa7/xo=")</f>
        <v>#VALUE!</v>
      </c>
      <c r="AB3" t="e">
        <f>AND('Data '!S14,"AAAAAHa7/xs=")</f>
        <v>#VALUE!</v>
      </c>
      <c r="AC3" t="e">
        <f>AND('Data '!T14,"AAAAAHa7/xw=")</f>
        <v>#VALUE!</v>
      </c>
      <c r="AD3" t="e">
        <f>AND('Data '!U14,"AAAAAHa7/x0=")</f>
        <v>#VALUE!</v>
      </c>
      <c r="AE3" t="e">
        <f>AND('Data '!V14,"AAAAAHa7/x4=")</f>
        <v>#VALUE!</v>
      </c>
      <c r="AF3" t="e">
        <f>AND('Data '!W14,"AAAAAHa7/x8=")</f>
        <v>#VALUE!</v>
      </c>
      <c r="AG3" t="e">
        <f>AND('Data '!X14,"AAAAAHa7/yA=")</f>
        <v>#VALUE!</v>
      </c>
      <c r="AH3" t="e">
        <f>AND('Data '!Y14,"AAAAAHa7/yE=")</f>
        <v>#VALUE!</v>
      </c>
      <c r="AI3" t="e">
        <f>AND('Data '!Z14,"AAAAAHa7/yI=")</f>
        <v>#VALUE!</v>
      </c>
      <c r="AJ3" t="e">
        <f>AND('Data '!AA14,"AAAAAHa7/yM=")</f>
        <v>#VALUE!</v>
      </c>
      <c r="AK3" t="e">
        <f>AND('Data '!AB14,"AAAAAHa7/yQ=")</f>
        <v>#VALUE!</v>
      </c>
      <c r="AL3" t="e">
        <f>AND('Data '!AC14,"AAAAAHa7/yU=")</f>
        <v>#VALUE!</v>
      </c>
      <c r="AM3" t="e">
        <f>AND('Data '!#REF!,"AAAAAHa7/yY=")</f>
        <v>#REF!</v>
      </c>
      <c r="AN3" t="e">
        <f>AND('Data '!#REF!,"AAAAAHa7/yc=")</f>
        <v>#REF!</v>
      </c>
      <c r="AO3" t="e">
        <f>AND('Data '!#REF!,"AAAAAHa7/yg=")</f>
        <v>#REF!</v>
      </c>
      <c r="AP3" t="e">
        <f>AND('Data '!#REF!,"AAAAAHa7/yk=")</f>
        <v>#REF!</v>
      </c>
      <c r="AQ3" t="e">
        <f>AND('Data '!#REF!,"AAAAAHa7/yo=")</f>
        <v>#REF!</v>
      </c>
      <c r="AR3" t="e">
        <f>AND('Data '!#REF!,"AAAAAHa7/ys=")</f>
        <v>#REF!</v>
      </c>
      <c r="AS3" t="e">
        <f>AND('Data '!#REF!,"AAAAAHa7/yw=")</f>
        <v>#REF!</v>
      </c>
      <c r="AT3" t="e">
        <f>AND('Data '!#REF!,"AAAAAHa7/y0=")</f>
        <v>#REF!</v>
      </c>
      <c r="AU3" t="e">
        <f>AND('Data '!#REF!,"AAAAAHa7/y4=")</f>
        <v>#REF!</v>
      </c>
      <c r="AV3" t="e">
        <f>AND('Data '!#REF!,"AAAAAHa7/y8=")</f>
        <v>#REF!</v>
      </c>
      <c r="AW3">
        <f>IF('Data '!15:15,"AAAAAHa7/zA=",0)</f>
        <v>0</v>
      </c>
      <c r="AX3" t="e">
        <f>AND('Data '!A15,"AAAAAHa7/zE=")</f>
        <v>#VALUE!</v>
      </c>
      <c r="AY3" t="e">
        <f>AND('Data '!B15,"AAAAAHa7/zI=")</f>
        <v>#VALUE!</v>
      </c>
      <c r="AZ3" t="e">
        <f>AND('Data '!C15,"AAAAAHa7/zM=")</f>
        <v>#VALUE!</v>
      </c>
      <c r="BA3" t="e">
        <f>AND('Data '!D15,"AAAAAHa7/zQ=")</f>
        <v>#VALUE!</v>
      </c>
      <c r="BB3" t="e">
        <f>AND('Data '!E15,"AAAAAHa7/zU=")</f>
        <v>#VALUE!</v>
      </c>
      <c r="BC3" t="e">
        <f>AND('Data '!F15,"AAAAAHa7/zY=")</f>
        <v>#VALUE!</v>
      </c>
      <c r="BD3" t="e">
        <f>AND('Data '!G15,"AAAAAHa7/zc=")</f>
        <v>#VALUE!</v>
      </c>
      <c r="BE3" t="e">
        <f>AND('Data '!H15,"AAAAAHa7/zg=")</f>
        <v>#VALUE!</v>
      </c>
      <c r="BF3" t="e">
        <f>AND('Data '!I15,"AAAAAHa7/zk=")</f>
        <v>#VALUE!</v>
      </c>
      <c r="BG3" t="e">
        <f>AND('Data '!J15,"AAAAAHa7/zo=")</f>
        <v>#VALUE!</v>
      </c>
      <c r="BH3" t="e">
        <f>AND('Data '!K15,"AAAAAHa7/zs=")</f>
        <v>#VALUE!</v>
      </c>
      <c r="BI3" t="e">
        <f>AND('Data '!L15,"AAAAAHa7/zw=")</f>
        <v>#VALUE!</v>
      </c>
      <c r="BJ3" t="e">
        <f>AND('Data '!M15,"AAAAAHa7/z0=")</f>
        <v>#VALUE!</v>
      </c>
      <c r="BK3" t="e">
        <f>AND('Data '!N15,"AAAAAHa7/z4=")</f>
        <v>#VALUE!</v>
      </c>
      <c r="BL3" t="e">
        <f>AND('Data '!O15,"AAAAAHa7/z8=")</f>
        <v>#VALUE!</v>
      </c>
      <c r="BM3" t="e">
        <f>AND('Data '!P15,"AAAAAHa7/0A=")</f>
        <v>#VALUE!</v>
      </c>
      <c r="BN3" t="e">
        <f>AND('Data '!Q15,"AAAAAHa7/0E=")</f>
        <v>#VALUE!</v>
      </c>
      <c r="BO3" t="e">
        <f>AND('Data '!R15,"AAAAAHa7/0I=")</f>
        <v>#VALUE!</v>
      </c>
      <c r="BP3" t="e">
        <f>AND('Data '!S15,"AAAAAHa7/0M=")</f>
        <v>#VALUE!</v>
      </c>
      <c r="BQ3" t="e">
        <f>AND('Data '!T15,"AAAAAHa7/0Q=")</f>
        <v>#VALUE!</v>
      </c>
      <c r="BR3" t="e">
        <f>AND('Data '!U15,"AAAAAHa7/0U=")</f>
        <v>#VALUE!</v>
      </c>
      <c r="BS3" t="e">
        <f>AND('Data '!V15,"AAAAAHa7/0Y=")</f>
        <v>#VALUE!</v>
      </c>
      <c r="BT3" t="e">
        <f>AND('Data '!W15,"AAAAAHa7/0c=")</f>
        <v>#VALUE!</v>
      </c>
      <c r="BU3" t="e">
        <f>AND('Data '!X15,"AAAAAHa7/0g=")</f>
        <v>#VALUE!</v>
      </c>
      <c r="BV3" t="e">
        <f>AND('Data '!Y15,"AAAAAHa7/0k=")</f>
        <v>#VALUE!</v>
      </c>
      <c r="BW3" t="e">
        <f>AND('Data '!Z15,"AAAAAHa7/0o=")</f>
        <v>#VALUE!</v>
      </c>
      <c r="BX3" t="e">
        <f>AND('Data '!AA15,"AAAAAHa7/0s=")</f>
        <v>#VALUE!</v>
      </c>
      <c r="BY3" t="e">
        <f>AND('Data '!AB15,"AAAAAHa7/0w=")</f>
        <v>#VALUE!</v>
      </c>
      <c r="BZ3" t="e">
        <f>AND('Data '!AC15,"AAAAAHa7/00=")</f>
        <v>#VALUE!</v>
      </c>
      <c r="CA3" t="e">
        <f>AND('Data '!#REF!,"AAAAAHa7/04=")</f>
        <v>#REF!</v>
      </c>
      <c r="CB3" t="e">
        <f>AND('Data '!#REF!,"AAAAAHa7/08=")</f>
        <v>#REF!</v>
      </c>
      <c r="CC3" t="e">
        <f>AND('Data '!#REF!,"AAAAAHa7/1A=")</f>
        <v>#REF!</v>
      </c>
      <c r="CD3" t="e">
        <f>AND('Data '!#REF!,"AAAAAHa7/1E=")</f>
        <v>#REF!</v>
      </c>
      <c r="CE3" t="e">
        <f>AND('Data '!#REF!,"AAAAAHa7/1I=")</f>
        <v>#REF!</v>
      </c>
      <c r="CF3" t="e">
        <f>AND('Data '!#REF!,"AAAAAHa7/1M=")</f>
        <v>#REF!</v>
      </c>
      <c r="CG3" t="e">
        <f>AND('Data '!#REF!,"AAAAAHa7/1Q=")</f>
        <v>#REF!</v>
      </c>
      <c r="CH3" t="e">
        <f>AND('Data '!#REF!,"AAAAAHa7/1U=")</f>
        <v>#REF!</v>
      </c>
      <c r="CI3" t="e">
        <f>AND('Data '!#REF!,"AAAAAHa7/1Y=")</f>
        <v>#REF!</v>
      </c>
      <c r="CJ3" t="e">
        <f>AND('Data '!#REF!,"AAAAAHa7/1c=")</f>
        <v>#REF!</v>
      </c>
      <c r="CK3">
        <f>IF('Data '!16:16,"AAAAAHa7/1g=",0)</f>
        <v>0</v>
      </c>
      <c r="CL3" t="e">
        <f>AND('Data '!A16,"AAAAAHa7/1k=")</f>
        <v>#VALUE!</v>
      </c>
      <c r="CM3" t="e">
        <f>AND('Data '!B16,"AAAAAHa7/1o=")</f>
        <v>#VALUE!</v>
      </c>
      <c r="CN3" t="e">
        <f>AND('Data '!C16,"AAAAAHa7/1s=")</f>
        <v>#VALUE!</v>
      </c>
      <c r="CO3" t="e">
        <f>AND('Data '!D16,"AAAAAHa7/1w=")</f>
        <v>#VALUE!</v>
      </c>
      <c r="CP3" t="e">
        <f>AND('Data '!E16,"AAAAAHa7/10=")</f>
        <v>#VALUE!</v>
      </c>
      <c r="CQ3" t="e">
        <f>AND('Data '!F16,"AAAAAHa7/14=")</f>
        <v>#VALUE!</v>
      </c>
      <c r="CR3" t="e">
        <f>AND('Data '!G16,"AAAAAHa7/18=")</f>
        <v>#VALUE!</v>
      </c>
      <c r="CS3" t="e">
        <f>AND('Data '!H16,"AAAAAHa7/2A=")</f>
        <v>#VALUE!</v>
      </c>
      <c r="CT3" t="e">
        <f>AND('Data '!I16,"AAAAAHa7/2E=")</f>
        <v>#VALUE!</v>
      </c>
      <c r="CU3" t="e">
        <f>AND('Data '!J16,"AAAAAHa7/2I=")</f>
        <v>#VALUE!</v>
      </c>
      <c r="CV3" t="e">
        <f>AND('Data '!K16,"AAAAAHa7/2M=")</f>
        <v>#VALUE!</v>
      </c>
      <c r="CW3" t="e">
        <f>AND('Data '!L16,"AAAAAHa7/2Q=")</f>
        <v>#VALUE!</v>
      </c>
      <c r="CX3" t="e">
        <f>AND('Data '!M16,"AAAAAHa7/2U=")</f>
        <v>#VALUE!</v>
      </c>
      <c r="CY3" t="e">
        <f>AND('Data '!N16,"AAAAAHa7/2Y=")</f>
        <v>#VALUE!</v>
      </c>
      <c r="CZ3" t="e">
        <f>AND('Data '!O16,"AAAAAHa7/2c=")</f>
        <v>#VALUE!</v>
      </c>
      <c r="DA3" t="e">
        <f>AND('Data '!P16,"AAAAAHa7/2g=")</f>
        <v>#VALUE!</v>
      </c>
      <c r="DB3" t="e">
        <f>AND('Data '!Q16,"AAAAAHa7/2k=")</f>
        <v>#VALUE!</v>
      </c>
      <c r="DC3" t="e">
        <f>AND('Data '!R16,"AAAAAHa7/2o=")</f>
        <v>#VALUE!</v>
      </c>
      <c r="DD3" t="e">
        <f>AND('Data '!S16,"AAAAAHa7/2s=")</f>
        <v>#VALUE!</v>
      </c>
      <c r="DE3" t="e">
        <f>AND('Data '!T16,"AAAAAHa7/2w=")</f>
        <v>#VALUE!</v>
      </c>
      <c r="DF3" t="e">
        <f>AND('Data '!U16,"AAAAAHa7/20=")</f>
        <v>#VALUE!</v>
      </c>
      <c r="DG3" t="e">
        <f>AND('Data '!V16,"AAAAAHa7/24=")</f>
        <v>#VALUE!</v>
      </c>
      <c r="DH3" t="e">
        <f>AND('Data '!W16,"AAAAAHa7/28=")</f>
        <v>#VALUE!</v>
      </c>
      <c r="DI3" t="e">
        <f>AND('Data '!X16,"AAAAAHa7/3A=")</f>
        <v>#VALUE!</v>
      </c>
      <c r="DJ3" t="e">
        <f>AND('Data '!Y16,"AAAAAHa7/3E=")</f>
        <v>#VALUE!</v>
      </c>
      <c r="DK3" t="e">
        <f>AND('Data '!Z16,"AAAAAHa7/3I=")</f>
        <v>#VALUE!</v>
      </c>
      <c r="DL3" t="e">
        <f>AND('Data '!AA16,"AAAAAHa7/3M=")</f>
        <v>#VALUE!</v>
      </c>
      <c r="DM3" t="e">
        <f>AND('Data '!AB16,"AAAAAHa7/3Q=")</f>
        <v>#VALUE!</v>
      </c>
      <c r="DN3" t="e">
        <f>AND('Data '!AC16,"AAAAAHa7/3U=")</f>
        <v>#VALUE!</v>
      </c>
      <c r="DO3" t="e">
        <f>AND('Data '!#REF!,"AAAAAHa7/3Y=")</f>
        <v>#REF!</v>
      </c>
      <c r="DP3" t="e">
        <f>AND('Data '!#REF!,"AAAAAHa7/3c=")</f>
        <v>#REF!</v>
      </c>
      <c r="DQ3" t="e">
        <f>AND('Data '!#REF!,"AAAAAHa7/3g=")</f>
        <v>#REF!</v>
      </c>
      <c r="DR3" t="e">
        <f>AND('Data '!#REF!,"AAAAAHa7/3k=")</f>
        <v>#REF!</v>
      </c>
      <c r="DS3" t="e">
        <f>AND('Data '!#REF!,"AAAAAHa7/3o=")</f>
        <v>#REF!</v>
      </c>
      <c r="DT3" t="e">
        <f>AND('Data '!#REF!,"AAAAAHa7/3s=")</f>
        <v>#REF!</v>
      </c>
      <c r="DU3" t="e">
        <f>AND('Data '!#REF!,"AAAAAHa7/3w=")</f>
        <v>#REF!</v>
      </c>
      <c r="DV3" t="e">
        <f>AND('Data '!#REF!,"AAAAAHa7/30=")</f>
        <v>#REF!</v>
      </c>
      <c r="DW3" t="e">
        <f>AND('Data '!#REF!,"AAAAAHa7/34=")</f>
        <v>#REF!</v>
      </c>
      <c r="DX3" t="e">
        <f>AND('Data '!#REF!,"AAAAAHa7/38=")</f>
        <v>#REF!</v>
      </c>
      <c r="DY3">
        <f>IF('Data '!17:17,"AAAAAHa7/4A=",0)</f>
        <v>0</v>
      </c>
      <c r="DZ3" t="e">
        <f>AND('Data '!A17,"AAAAAHa7/4E=")</f>
        <v>#VALUE!</v>
      </c>
      <c r="EA3" t="e">
        <f>AND('Data '!B17,"AAAAAHa7/4I=")</f>
        <v>#VALUE!</v>
      </c>
      <c r="EB3" t="e">
        <f>AND('Data '!C17,"AAAAAHa7/4M=")</f>
        <v>#VALUE!</v>
      </c>
      <c r="EC3" t="e">
        <f>AND('Data '!D17,"AAAAAHa7/4Q=")</f>
        <v>#VALUE!</v>
      </c>
      <c r="ED3" t="e">
        <f>AND('Data '!E17,"AAAAAHa7/4U=")</f>
        <v>#VALUE!</v>
      </c>
      <c r="EE3" t="e">
        <f>AND('Data '!F17,"AAAAAHa7/4Y=")</f>
        <v>#VALUE!</v>
      </c>
      <c r="EF3" t="e">
        <f>AND('Data '!G17,"AAAAAHa7/4c=")</f>
        <v>#VALUE!</v>
      </c>
      <c r="EG3" t="e">
        <f>AND('Data '!H17,"AAAAAHa7/4g=")</f>
        <v>#VALUE!</v>
      </c>
      <c r="EH3" t="e">
        <f>AND('Data '!I17,"AAAAAHa7/4k=")</f>
        <v>#VALUE!</v>
      </c>
      <c r="EI3" t="e">
        <f>AND('Data '!J17,"AAAAAHa7/4o=")</f>
        <v>#VALUE!</v>
      </c>
      <c r="EJ3" t="e">
        <f>AND('Data '!K17,"AAAAAHa7/4s=")</f>
        <v>#VALUE!</v>
      </c>
      <c r="EK3" t="e">
        <f>AND('Data '!L17,"AAAAAHa7/4w=")</f>
        <v>#VALUE!</v>
      </c>
      <c r="EL3" t="e">
        <f>AND('Data '!M17,"AAAAAHa7/40=")</f>
        <v>#VALUE!</v>
      </c>
      <c r="EM3" t="e">
        <f>AND('Data '!N17,"AAAAAHa7/44=")</f>
        <v>#VALUE!</v>
      </c>
      <c r="EN3" t="e">
        <f>AND('Data '!O17,"AAAAAHa7/48=")</f>
        <v>#VALUE!</v>
      </c>
      <c r="EO3" t="e">
        <f>AND('Data '!P17,"AAAAAHa7/5A=")</f>
        <v>#VALUE!</v>
      </c>
      <c r="EP3" t="e">
        <f>AND('Data '!Q17,"AAAAAHa7/5E=")</f>
        <v>#VALUE!</v>
      </c>
      <c r="EQ3" t="e">
        <f>AND('Data '!R17,"AAAAAHa7/5I=")</f>
        <v>#VALUE!</v>
      </c>
      <c r="ER3" t="e">
        <f>AND('Data '!S17,"AAAAAHa7/5M=")</f>
        <v>#VALUE!</v>
      </c>
      <c r="ES3" t="e">
        <f>AND('Data '!T17,"AAAAAHa7/5Q=")</f>
        <v>#VALUE!</v>
      </c>
      <c r="ET3" t="e">
        <f>AND('Data '!U17,"AAAAAHa7/5U=")</f>
        <v>#VALUE!</v>
      </c>
      <c r="EU3" t="e">
        <f>AND('Data '!V17,"AAAAAHa7/5Y=")</f>
        <v>#VALUE!</v>
      </c>
      <c r="EV3" t="e">
        <f>AND('Data '!W17,"AAAAAHa7/5c=")</f>
        <v>#VALUE!</v>
      </c>
      <c r="EW3" t="e">
        <f>AND('Data '!X17,"AAAAAHa7/5g=")</f>
        <v>#VALUE!</v>
      </c>
      <c r="EX3" t="e">
        <f>AND('Data '!Y17,"AAAAAHa7/5k=")</f>
        <v>#VALUE!</v>
      </c>
      <c r="EY3" t="e">
        <f>AND('Data '!Z17,"AAAAAHa7/5o=")</f>
        <v>#VALUE!</v>
      </c>
      <c r="EZ3" t="e">
        <f>AND('Data '!AA17,"AAAAAHa7/5s=")</f>
        <v>#VALUE!</v>
      </c>
      <c r="FA3" t="e">
        <f>AND('Data '!AB17,"AAAAAHa7/5w=")</f>
        <v>#VALUE!</v>
      </c>
      <c r="FB3" t="e">
        <f>AND('Data '!AC17,"AAAAAHa7/50=")</f>
        <v>#VALUE!</v>
      </c>
      <c r="FC3" t="e">
        <f>AND('Data '!#REF!,"AAAAAHa7/54=")</f>
        <v>#REF!</v>
      </c>
      <c r="FD3" t="e">
        <f>AND('Data '!#REF!,"AAAAAHa7/58=")</f>
        <v>#REF!</v>
      </c>
      <c r="FE3" t="e">
        <f>AND('Data '!#REF!,"AAAAAHa7/6A=")</f>
        <v>#REF!</v>
      </c>
      <c r="FF3" t="e">
        <f>AND('Data '!#REF!,"AAAAAHa7/6E=")</f>
        <v>#REF!</v>
      </c>
      <c r="FG3" t="e">
        <f>AND('Data '!#REF!,"AAAAAHa7/6I=")</f>
        <v>#REF!</v>
      </c>
      <c r="FH3" t="e">
        <f>AND('Data '!#REF!,"AAAAAHa7/6M=")</f>
        <v>#REF!</v>
      </c>
      <c r="FI3" t="e">
        <f>AND('Data '!#REF!,"AAAAAHa7/6Q=")</f>
        <v>#REF!</v>
      </c>
      <c r="FJ3" t="e">
        <f>AND('Data '!#REF!,"AAAAAHa7/6U=")</f>
        <v>#REF!</v>
      </c>
      <c r="FK3" t="e">
        <f>AND('Data '!#REF!,"AAAAAHa7/6Y=")</f>
        <v>#REF!</v>
      </c>
      <c r="FL3" t="e">
        <f>AND('Data '!#REF!,"AAAAAHa7/6c=")</f>
        <v>#REF!</v>
      </c>
      <c r="FM3">
        <f>IF('Data '!18:18,"AAAAAHa7/6g=",0)</f>
        <v>0</v>
      </c>
      <c r="FN3" t="e">
        <f>AND('Data '!A18,"AAAAAHa7/6k=")</f>
        <v>#VALUE!</v>
      </c>
      <c r="FO3" t="e">
        <f>AND('Data '!B18,"AAAAAHa7/6o=")</f>
        <v>#VALUE!</v>
      </c>
      <c r="FP3" t="e">
        <f>AND('Data '!C18,"AAAAAHa7/6s=")</f>
        <v>#VALUE!</v>
      </c>
      <c r="FQ3" t="e">
        <f>AND('Data '!D18,"AAAAAHa7/6w=")</f>
        <v>#VALUE!</v>
      </c>
      <c r="FR3" t="e">
        <f>AND('Data '!E18,"AAAAAHa7/60=")</f>
        <v>#VALUE!</v>
      </c>
      <c r="FS3" t="e">
        <f>AND('Data '!F18,"AAAAAHa7/64=")</f>
        <v>#VALUE!</v>
      </c>
      <c r="FT3" t="e">
        <f>AND('Data '!G18,"AAAAAHa7/68=")</f>
        <v>#VALUE!</v>
      </c>
      <c r="FU3" t="e">
        <f>AND('Data '!H18,"AAAAAHa7/7A=")</f>
        <v>#VALUE!</v>
      </c>
      <c r="FV3" t="e">
        <f>AND('Data '!I18,"AAAAAHa7/7E=")</f>
        <v>#VALUE!</v>
      </c>
      <c r="FW3" t="e">
        <f>AND('Data '!J18,"AAAAAHa7/7I=")</f>
        <v>#VALUE!</v>
      </c>
      <c r="FX3" t="e">
        <f>AND('Data '!K18,"AAAAAHa7/7M=")</f>
        <v>#VALUE!</v>
      </c>
      <c r="FY3" t="e">
        <f>AND('Data '!L18,"AAAAAHa7/7Q=")</f>
        <v>#VALUE!</v>
      </c>
      <c r="FZ3" t="e">
        <f>AND('Data '!M18,"AAAAAHa7/7U=")</f>
        <v>#VALUE!</v>
      </c>
      <c r="GA3" t="e">
        <f>AND('Data '!N18,"AAAAAHa7/7Y=")</f>
        <v>#VALUE!</v>
      </c>
      <c r="GB3" t="e">
        <f>AND('Data '!O18,"AAAAAHa7/7c=")</f>
        <v>#VALUE!</v>
      </c>
      <c r="GC3" t="e">
        <f>AND('Data '!P18,"AAAAAHa7/7g=")</f>
        <v>#VALUE!</v>
      </c>
      <c r="GD3" t="e">
        <f>AND('Data '!Q18,"AAAAAHa7/7k=")</f>
        <v>#VALUE!</v>
      </c>
      <c r="GE3" t="e">
        <f>AND('Data '!R18,"AAAAAHa7/7o=")</f>
        <v>#VALUE!</v>
      </c>
      <c r="GF3" t="e">
        <f>AND('Data '!S18,"AAAAAHa7/7s=")</f>
        <v>#VALUE!</v>
      </c>
      <c r="GG3" t="e">
        <f>AND('Data '!T18,"AAAAAHa7/7w=")</f>
        <v>#VALUE!</v>
      </c>
      <c r="GH3" t="e">
        <f>AND('Data '!U18,"AAAAAHa7/70=")</f>
        <v>#VALUE!</v>
      </c>
      <c r="GI3" t="e">
        <f>AND('Data '!V18,"AAAAAHa7/74=")</f>
        <v>#VALUE!</v>
      </c>
      <c r="GJ3" t="e">
        <f>AND('Data '!W18,"AAAAAHa7/78=")</f>
        <v>#VALUE!</v>
      </c>
      <c r="GK3" t="e">
        <f>AND('Data '!X18,"AAAAAHa7/8A=")</f>
        <v>#VALUE!</v>
      </c>
      <c r="GL3" t="e">
        <f>AND('Data '!Y18,"AAAAAHa7/8E=")</f>
        <v>#VALUE!</v>
      </c>
      <c r="GM3" t="e">
        <f>AND('Data '!Z18,"AAAAAHa7/8I=")</f>
        <v>#VALUE!</v>
      </c>
      <c r="GN3" t="e">
        <f>AND('Data '!AA18,"AAAAAHa7/8M=")</f>
        <v>#VALUE!</v>
      </c>
      <c r="GO3" t="e">
        <f>AND('Data '!AB18,"AAAAAHa7/8Q=")</f>
        <v>#VALUE!</v>
      </c>
      <c r="GP3" t="e">
        <f>AND('Data '!AC18,"AAAAAHa7/8U=")</f>
        <v>#VALUE!</v>
      </c>
      <c r="GQ3" t="e">
        <f>AND('Data '!#REF!,"AAAAAHa7/8Y=")</f>
        <v>#REF!</v>
      </c>
      <c r="GR3" t="e">
        <f>AND('Data '!#REF!,"AAAAAHa7/8c=")</f>
        <v>#REF!</v>
      </c>
      <c r="GS3" t="e">
        <f>AND('Data '!#REF!,"AAAAAHa7/8g=")</f>
        <v>#REF!</v>
      </c>
      <c r="GT3" t="e">
        <f>AND('Data '!#REF!,"AAAAAHa7/8k=")</f>
        <v>#REF!</v>
      </c>
      <c r="GU3" t="e">
        <f>AND('Data '!#REF!,"AAAAAHa7/8o=")</f>
        <v>#REF!</v>
      </c>
      <c r="GV3" t="e">
        <f>AND('Data '!#REF!,"AAAAAHa7/8s=")</f>
        <v>#REF!</v>
      </c>
      <c r="GW3" t="e">
        <f>AND('Data '!#REF!,"AAAAAHa7/8w=")</f>
        <v>#REF!</v>
      </c>
      <c r="GX3" t="e">
        <f>AND('Data '!#REF!,"AAAAAHa7/80=")</f>
        <v>#REF!</v>
      </c>
      <c r="GY3" t="e">
        <f>AND('Data '!#REF!,"AAAAAHa7/84=")</f>
        <v>#REF!</v>
      </c>
      <c r="GZ3" t="e">
        <f>AND('Data '!#REF!,"AAAAAHa7/88=")</f>
        <v>#REF!</v>
      </c>
      <c r="HA3">
        <f>IF('Data '!19:19,"AAAAAHa7/9A=",0)</f>
        <v>0</v>
      </c>
      <c r="HB3" t="e">
        <f>AND('Data '!A19,"AAAAAHa7/9E=")</f>
        <v>#VALUE!</v>
      </c>
      <c r="HC3" t="e">
        <f>AND('Data '!B19,"AAAAAHa7/9I=")</f>
        <v>#VALUE!</v>
      </c>
      <c r="HD3" t="e">
        <f>AND('Data '!C19,"AAAAAHa7/9M=")</f>
        <v>#VALUE!</v>
      </c>
      <c r="HE3" t="e">
        <f>AND('Data '!D19,"AAAAAHa7/9Q=")</f>
        <v>#VALUE!</v>
      </c>
      <c r="HF3" t="e">
        <f>AND('Data '!E19,"AAAAAHa7/9U=")</f>
        <v>#VALUE!</v>
      </c>
      <c r="HG3" t="e">
        <f>AND('Data '!F19,"AAAAAHa7/9Y=")</f>
        <v>#VALUE!</v>
      </c>
      <c r="HH3" t="e">
        <f>AND('Data '!G19,"AAAAAHa7/9c=")</f>
        <v>#VALUE!</v>
      </c>
      <c r="HI3" t="e">
        <f>AND('Data '!H19,"AAAAAHa7/9g=")</f>
        <v>#VALUE!</v>
      </c>
      <c r="HJ3" t="e">
        <f>AND('Data '!I19,"AAAAAHa7/9k=")</f>
        <v>#VALUE!</v>
      </c>
      <c r="HK3" t="e">
        <f>AND('Data '!J19,"AAAAAHa7/9o=")</f>
        <v>#VALUE!</v>
      </c>
      <c r="HL3" t="e">
        <f>AND('Data '!K19,"AAAAAHa7/9s=")</f>
        <v>#VALUE!</v>
      </c>
      <c r="HM3" t="e">
        <f>AND('Data '!L19,"AAAAAHa7/9w=")</f>
        <v>#VALUE!</v>
      </c>
      <c r="HN3" t="e">
        <f>AND('Data '!M19,"AAAAAHa7/90=")</f>
        <v>#VALUE!</v>
      </c>
      <c r="HO3" t="e">
        <f>AND('Data '!N19,"AAAAAHa7/94=")</f>
        <v>#VALUE!</v>
      </c>
      <c r="HP3" t="e">
        <f>AND('Data '!O19,"AAAAAHa7/98=")</f>
        <v>#VALUE!</v>
      </c>
      <c r="HQ3" t="e">
        <f>AND('Data '!P19,"AAAAAHa7/+A=")</f>
        <v>#VALUE!</v>
      </c>
      <c r="HR3" t="e">
        <f>AND('Data '!Q19,"AAAAAHa7/+E=")</f>
        <v>#VALUE!</v>
      </c>
      <c r="HS3" t="e">
        <f>AND('Data '!R19,"AAAAAHa7/+I=")</f>
        <v>#VALUE!</v>
      </c>
      <c r="HT3" t="e">
        <f>AND('Data '!S19,"AAAAAHa7/+M=")</f>
        <v>#VALUE!</v>
      </c>
      <c r="HU3" t="e">
        <f>AND('Data '!T19,"AAAAAHa7/+Q=")</f>
        <v>#VALUE!</v>
      </c>
      <c r="HV3" t="e">
        <f>AND('Data '!U19,"AAAAAHa7/+U=")</f>
        <v>#VALUE!</v>
      </c>
      <c r="HW3" t="e">
        <f>AND('Data '!V19,"AAAAAHa7/+Y=")</f>
        <v>#VALUE!</v>
      </c>
      <c r="HX3" t="e">
        <f>AND('Data '!W19,"AAAAAHa7/+c=")</f>
        <v>#VALUE!</v>
      </c>
      <c r="HY3" t="e">
        <f>AND('Data '!X19,"AAAAAHa7/+g=")</f>
        <v>#VALUE!</v>
      </c>
      <c r="HZ3" t="e">
        <f>AND('Data '!Y19,"AAAAAHa7/+k=")</f>
        <v>#VALUE!</v>
      </c>
      <c r="IA3" t="e">
        <f>AND('Data '!Z19,"AAAAAHa7/+o=")</f>
        <v>#VALUE!</v>
      </c>
      <c r="IB3" t="e">
        <f>AND('Data '!AA19,"AAAAAHa7/+s=")</f>
        <v>#VALUE!</v>
      </c>
      <c r="IC3" t="e">
        <f>AND('Data '!AB19,"AAAAAHa7/+w=")</f>
        <v>#VALUE!</v>
      </c>
      <c r="ID3" t="e">
        <f>AND('Data '!AC19,"AAAAAHa7/+0=")</f>
        <v>#VALUE!</v>
      </c>
      <c r="IE3" t="e">
        <f>AND('Data '!#REF!,"AAAAAHa7/+4=")</f>
        <v>#REF!</v>
      </c>
      <c r="IF3" t="e">
        <f>AND('Data '!#REF!,"AAAAAHa7/+8=")</f>
        <v>#REF!</v>
      </c>
      <c r="IG3" t="e">
        <f>AND('Data '!#REF!,"AAAAAHa7//A=")</f>
        <v>#REF!</v>
      </c>
      <c r="IH3" t="e">
        <f>AND('Data '!#REF!,"AAAAAHa7//E=")</f>
        <v>#REF!</v>
      </c>
      <c r="II3" t="e">
        <f>AND('Data '!#REF!,"AAAAAHa7//I=")</f>
        <v>#REF!</v>
      </c>
      <c r="IJ3" t="e">
        <f>AND('Data '!#REF!,"AAAAAHa7//M=")</f>
        <v>#REF!</v>
      </c>
      <c r="IK3" t="e">
        <f>AND('Data '!#REF!,"AAAAAHa7//Q=")</f>
        <v>#REF!</v>
      </c>
      <c r="IL3" t="e">
        <f>AND('Data '!#REF!,"AAAAAHa7//U=")</f>
        <v>#REF!</v>
      </c>
      <c r="IM3" t="e">
        <f>AND('Data '!#REF!,"AAAAAHa7//Y=")</f>
        <v>#REF!</v>
      </c>
      <c r="IN3" t="e">
        <f>AND('Data '!#REF!,"AAAAAHa7//c=")</f>
        <v>#REF!</v>
      </c>
      <c r="IO3">
        <f>IF('Data '!20:20,"AAAAAHa7//g=",0)</f>
        <v>0</v>
      </c>
      <c r="IP3" t="e">
        <f>AND('Data '!A20,"AAAAAHa7//k=")</f>
        <v>#VALUE!</v>
      </c>
      <c r="IQ3" t="e">
        <f>AND('Data '!B20,"AAAAAHa7//o=")</f>
        <v>#VALUE!</v>
      </c>
      <c r="IR3" t="e">
        <f>AND('Data '!C20,"AAAAAHa7//s=")</f>
        <v>#VALUE!</v>
      </c>
      <c r="IS3" t="e">
        <f>AND('Data '!D20,"AAAAAHa7//w=")</f>
        <v>#VALUE!</v>
      </c>
      <c r="IT3" t="e">
        <f>AND('Data '!E20,"AAAAAHa7//0=")</f>
        <v>#VALUE!</v>
      </c>
      <c r="IU3" t="e">
        <f>AND('Data '!F20,"AAAAAHa7//4=")</f>
        <v>#VALUE!</v>
      </c>
      <c r="IV3" t="e">
        <f>AND('Data '!G20,"AAAAAHa7//8=")</f>
        <v>#VALUE!</v>
      </c>
    </row>
    <row r="4" spans="1:256" x14ac:dyDescent="0.25">
      <c r="A4" t="e">
        <f>AND('Data '!H20,"AAAAACvmxQA=")</f>
        <v>#VALUE!</v>
      </c>
      <c r="B4" t="e">
        <f>AND('Data '!I20,"AAAAACvmxQE=")</f>
        <v>#VALUE!</v>
      </c>
      <c r="C4" t="e">
        <f>AND('Data '!J20,"AAAAACvmxQI=")</f>
        <v>#VALUE!</v>
      </c>
      <c r="D4" t="e">
        <f>AND('Data '!K20,"AAAAACvmxQM=")</f>
        <v>#VALUE!</v>
      </c>
      <c r="E4" t="e">
        <f>AND('Data '!L20,"AAAAACvmxQQ=")</f>
        <v>#VALUE!</v>
      </c>
      <c r="F4" t="e">
        <f>AND('Data '!M20,"AAAAACvmxQU=")</f>
        <v>#VALUE!</v>
      </c>
      <c r="G4" t="e">
        <f>AND('Data '!N20,"AAAAACvmxQY=")</f>
        <v>#VALUE!</v>
      </c>
      <c r="H4" t="e">
        <f>AND('Data '!O20,"AAAAACvmxQc=")</f>
        <v>#VALUE!</v>
      </c>
      <c r="I4" t="e">
        <f>AND('Data '!P20,"AAAAACvmxQg=")</f>
        <v>#VALUE!</v>
      </c>
      <c r="J4" t="e">
        <f>AND('Data '!Q20,"AAAAACvmxQk=")</f>
        <v>#VALUE!</v>
      </c>
      <c r="K4" t="e">
        <f>AND('Data '!R20,"AAAAACvmxQo=")</f>
        <v>#VALUE!</v>
      </c>
      <c r="L4" t="e">
        <f>AND('Data '!S20,"AAAAACvmxQs=")</f>
        <v>#VALUE!</v>
      </c>
      <c r="M4" t="e">
        <f>AND('Data '!T20,"AAAAACvmxQw=")</f>
        <v>#VALUE!</v>
      </c>
      <c r="N4" t="e">
        <f>AND('Data '!U20,"AAAAACvmxQ0=")</f>
        <v>#VALUE!</v>
      </c>
      <c r="O4" t="e">
        <f>AND('Data '!V20,"AAAAACvmxQ4=")</f>
        <v>#VALUE!</v>
      </c>
      <c r="P4" t="e">
        <f>AND('Data '!W20,"AAAAACvmxQ8=")</f>
        <v>#VALUE!</v>
      </c>
      <c r="Q4" t="e">
        <f>AND('Data '!X20,"AAAAACvmxRA=")</f>
        <v>#VALUE!</v>
      </c>
      <c r="R4" t="e">
        <f>AND('Data '!Y20,"AAAAACvmxRE=")</f>
        <v>#VALUE!</v>
      </c>
      <c r="S4" t="e">
        <f>AND('Data '!Z20,"AAAAACvmxRI=")</f>
        <v>#VALUE!</v>
      </c>
      <c r="T4" t="e">
        <f>AND('Data '!AA20,"AAAAACvmxRM=")</f>
        <v>#VALUE!</v>
      </c>
      <c r="U4" t="e">
        <f>AND('Data '!AB20,"AAAAACvmxRQ=")</f>
        <v>#VALUE!</v>
      </c>
      <c r="V4" t="e">
        <f>AND('Data '!AC20,"AAAAACvmxRU=")</f>
        <v>#VALUE!</v>
      </c>
      <c r="W4" t="e">
        <f>AND('Data '!#REF!,"AAAAACvmxRY=")</f>
        <v>#REF!</v>
      </c>
      <c r="X4" t="e">
        <f>AND('Data '!#REF!,"AAAAACvmxRc=")</f>
        <v>#REF!</v>
      </c>
      <c r="Y4" t="e">
        <f>AND('Data '!#REF!,"AAAAACvmxRg=")</f>
        <v>#REF!</v>
      </c>
      <c r="Z4" t="e">
        <f>AND('Data '!#REF!,"AAAAACvmxRk=")</f>
        <v>#REF!</v>
      </c>
      <c r="AA4" t="e">
        <f>AND('Data '!#REF!,"AAAAACvmxRo=")</f>
        <v>#REF!</v>
      </c>
      <c r="AB4" t="e">
        <f>AND('Data '!#REF!,"AAAAACvmxRs=")</f>
        <v>#REF!</v>
      </c>
      <c r="AC4" t="e">
        <f>AND('Data '!#REF!,"AAAAACvmxRw=")</f>
        <v>#REF!</v>
      </c>
      <c r="AD4" t="e">
        <f>AND('Data '!#REF!,"AAAAACvmxR0=")</f>
        <v>#REF!</v>
      </c>
      <c r="AE4" t="e">
        <f>AND('Data '!#REF!,"AAAAACvmxR4=")</f>
        <v>#REF!</v>
      </c>
      <c r="AF4" t="e">
        <f>AND('Data '!#REF!,"AAAAACvmxR8=")</f>
        <v>#REF!</v>
      </c>
      <c r="AG4">
        <f>IF('Data '!21:21,"AAAAACvmxSA=",0)</f>
        <v>0</v>
      </c>
      <c r="AH4" t="e">
        <f>AND('Data '!A21,"AAAAACvmxSE=")</f>
        <v>#VALUE!</v>
      </c>
      <c r="AI4" t="e">
        <f>AND('Data '!B21,"AAAAACvmxSI=")</f>
        <v>#VALUE!</v>
      </c>
      <c r="AJ4" t="e">
        <f>AND('Data '!C21,"AAAAACvmxSM=")</f>
        <v>#VALUE!</v>
      </c>
      <c r="AK4" t="e">
        <f>AND('Data '!D21,"AAAAACvmxSQ=")</f>
        <v>#VALUE!</v>
      </c>
      <c r="AL4" t="e">
        <f>AND('Data '!E21,"AAAAACvmxSU=")</f>
        <v>#VALUE!</v>
      </c>
      <c r="AM4" t="e">
        <f>AND('Data '!F21,"AAAAACvmxSY=")</f>
        <v>#VALUE!</v>
      </c>
      <c r="AN4" t="e">
        <f>AND('Data '!G21,"AAAAACvmxSc=")</f>
        <v>#VALUE!</v>
      </c>
      <c r="AO4" t="e">
        <f>AND('Data '!H21,"AAAAACvmxSg=")</f>
        <v>#VALUE!</v>
      </c>
      <c r="AP4" t="e">
        <f>AND('Data '!I21,"AAAAACvmxSk=")</f>
        <v>#VALUE!</v>
      </c>
      <c r="AQ4" t="e">
        <f>AND('Data '!J21,"AAAAACvmxSo=")</f>
        <v>#VALUE!</v>
      </c>
      <c r="AR4" t="e">
        <f>AND('Data '!K21,"AAAAACvmxSs=")</f>
        <v>#VALUE!</v>
      </c>
      <c r="AS4" t="e">
        <f>AND('Data '!L21,"AAAAACvmxSw=")</f>
        <v>#VALUE!</v>
      </c>
      <c r="AT4" t="e">
        <f>AND('Data '!M21,"AAAAACvmxS0=")</f>
        <v>#VALUE!</v>
      </c>
      <c r="AU4" t="e">
        <f>AND('Data '!N21,"AAAAACvmxS4=")</f>
        <v>#VALUE!</v>
      </c>
      <c r="AV4" t="e">
        <f>AND('Data '!O21,"AAAAACvmxS8=")</f>
        <v>#VALUE!</v>
      </c>
      <c r="AW4" t="e">
        <f>AND('Data '!P21,"AAAAACvmxTA=")</f>
        <v>#VALUE!</v>
      </c>
      <c r="AX4" t="e">
        <f>AND('Data '!Q21,"AAAAACvmxTE=")</f>
        <v>#VALUE!</v>
      </c>
      <c r="AY4" t="e">
        <f>AND('Data '!R21,"AAAAACvmxTI=")</f>
        <v>#VALUE!</v>
      </c>
      <c r="AZ4" t="e">
        <f>AND('Data '!S21,"AAAAACvmxTM=")</f>
        <v>#VALUE!</v>
      </c>
      <c r="BA4" t="e">
        <f>AND('Data '!T21,"AAAAACvmxTQ=")</f>
        <v>#VALUE!</v>
      </c>
      <c r="BB4" t="e">
        <f>AND('Data '!U21,"AAAAACvmxTU=")</f>
        <v>#VALUE!</v>
      </c>
      <c r="BC4" t="e">
        <f>AND('Data '!V21,"AAAAACvmxTY=")</f>
        <v>#VALUE!</v>
      </c>
      <c r="BD4" t="e">
        <f>AND('Data '!W21,"AAAAACvmxTc=")</f>
        <v>#VALUE!</v>
      </c>
      <c r="BE4" t="e">
        <f>AND('Data '!X21,"AAAAACvmxTg=")</f>
        <v>#VALUE!</v>
      </c>
      <c r="BF4" t="e">
        <f>AND('Data '!Y21,"AAAAACvmxTk=")</f>
        <v>#VALUE!</v>
      </c>
      <c r="BG4" t="e">
        <f>AND('Data '!Z21,"AAAAACvmxTo=")</f>
        <v>#VALUE!</v>
      </c>
      <c r="BH4" t="e">
        <f>AND('Data '!AA21,"AAAAACvmxTs=")</f>
        <v>#VALUE!</v>
      </c>
      <c r="BI4" t="e">
        <f>AND('Data '!AB21,"AAAAACvmxTw=")</f>
        <v>#VALUE!</v>
      </c>
      <c r="BJ4" t="e">
        <f>AND('Data '!AC21,"AAAAACvmxT0=")</f>
        <v>#VALUE!</v>
      </c>
      <c r="BK4" t="e">
        <f>AND('Data '!#REF!,"AAAAACvmxT4=")</f>
        <v>#REF!</v>
      </c>
      <c r="BL4" t="e">
        <f>AND('Data '!#REF!,"AAAAACvmxT8=")</f>
        <v>#REF!</v>
      </c>
      <c r="BM4" t="e">
        <f>AND('Data '!#REF!,"AAAAACvmxUA=")</f>
        <v>#REF!</v>
      </c>
      <c r="BN4" t="e">
        <f>AND('Data '!#REF!,"AAAAACvmxUE=")</f>
        <v>#REF!</v>
      </c>
      <c r="BO4" t="e">
        <f>AND('Data '!#REF!,"AAAAACvmxUI=")</f>
        <v>#REF!</v>
      </c>
      <c r="BP4" t="e">
        <f>AND('Data '!#REF!,"AAAAACvmxUM=")</f>
        <v>#REF!</v>
      </c>
      <c r="BQ4" t="e">
        <f>AND('Data '!#REF!,"AAAAACvmxUQ=")</f>
        <v>#REF!</v>
      </c>
      <c r="BR4" t="e">
        <f>AND('Data '!#REF!,"AAAAACvmxUU=")</f>
        <v>#REF!</v>
      </c>
      <c r="BS4" t="e">
        <f>AND('Data '!#REF!,"AAAAACvmxUY=")</f>
        <v>#REF!</v>
      </c>
      <c r="BT4" t="e">
        <f>AND('Data '!#REF!,"AAAAACvmxUc=")</f>
        <v>#REF!</v>
      </c>
      <c r="BU4">
        <f>IF('Data '!22:22,"AAAAACvmxUg=",0)</f>
        <v>0</v>
      </c>
      <c r="BV4" t="e">
        <f>AND('Data '!A22,"AAAAACvmxUk=")</f>
        <v>#VALUE!</v>
      </c>
      <c r="BW4" t="e">
        <f>AND('Data '!B22,"AAAAACvmxUo=")</f>
        <v>#VALUE!</v>
      </c>
      <c r="BX4" t="e">
        <f>AND('Data '!C22,"AAAAACvmxUs=")</f>
        <v>#VALUE!</v>
      </c>
      <c r="BY4" t="e">
        <f>AND('Data '!D22,"AAAAACvmxUw=")</f>
        <v>#VALUE!</v>
      </c>
      <c r="BZ4" t="e">
        <f>AND('Data '!E22,"AAAAACvmxU0=")</f>
        <v>#VALUE!</v>
      </c>
      <c r="CA4" t="e">
        <f>AND('Data '!F22,"AAAAACvmxU4=")</f>
        <v>#VALUE!</v>
      </c>
      <c r="CB4" t="e">
        <f>AND('Data '!G22,"AAAAACvmxU8=")</f>
        <v>#VALUE!</v>
      </c>
      <c r="CC4" t="e">
        <f>AND('Data '!H22,"AAAAACvmxVA=")</f>
        <v>#VALUE!</v>
      </c>
      <c r="CD4" t="e">
        <f>AND('Data '!I22,"AAAAACvmxVE=")</f>
        <v>#VALUE!</v>
      </c>
      <c r="CE4" t="e">
        <f>AND('Data '!J22,"AAAAACvmxVI=")</f>
        <v>#VALUE!</v>
      </c>
      <c r="CF4" t="e">
        <f>AND('Data '!K22,"AAAAACvmxVM=")</f>
        <v>#VALUE!</v>
      </c>
      <c r="CG4" t="e">
        <f>AND('Data '!L22,"AAAAACvmxVQ=")</f>
        <v>#VALUE!</v>
      </c>
      <c r="CH4" t="e">
        <f>AND('Data '!M22,"AAAAACvmxVU=")</f>
        <v>#VALUE!</v>
      </c>
      <c r="CI4" t="e">
        <f>AND('Data '!N22,"AAAAACvmxVY=")</f>
        <v>#VALUE!</v>
      </c>
      <c r="CJ4" t="e">
        <f>AND('Data '!O22,"AAAAACvmxVc=")</f>
        <v>#VALUE!</v>
      </c>
      <c r="CK4" t="e">
        <f>AND('Data '!P22,"AAAAACvmxVg=")</f>
        <v>#VALUE!</v>
      </c>
      <c r="CL4" t="e">
        <f>AND('Data '!Q22,"AAAAACvmxVk=")</f>
        <v>#VALUE!</v>
      </c>
      <c r="CM4" t="e">
        <f>AND('Data '!R22,"AAAAACvmxVo=")</f>
        <v>#VALUE!</v>
      </c>
      <c r="CN4" t="e">
        <f>AND('Data '!S22,"AAAAACvmxVs=")</f>
        <v>#VALUE!</v>
      </c>
      <c r="CO4" t="e">
        <f>AND('Data '!T22,"AAAAACvmxVw=")</f>
        <v>#VALUE!</v>
      </c>
      <c r="CP4" t="e">
        <f>AND('Data '!U22,"AAAAACvmxV0=")</f>
        <v>#VALUE!</v>
      </c>
      <c r="CQ4" t="e">
        <f>AND('Data '!V22,"AAAAACvmxV4=")</f>
        <v>#VALUE!</v>
      </c>
      <c r="CR4" t="e">
        <f>AND('Data '!W22,"AAAAACvmxV8=")</f>
        <v>#VALUE!</v>
      </c>
      <c r="CS4" t="e">
        <f>AND('Data '!X22,"AAAAACvmxWA=")</f>
        <v>#VALUE!</v>
      </c>
      <c r="CT4" t="e">
        <f>AND('Data '!Y22,"AAAAACvmxWE=")</f>
        <v>#VALUE!</v>
      </c>
      <c r="CU4" t="e">
        <f>AND('Data '!Z22,"AAAAACvmxWI=")</f>
        <v>#VALUE!</v>
      </c>
      <c r="CV4" t="e">
        <f>AND('Data '!AA22,"AAAAACvmxWM=")</f>
        <v>#VALUE!</v>
      </c>
      <c r="CW4" t="e">
        <f>AND('Data '!AB22,"AAAAACvmxWQ=")</f>
        <v>#VALUE!</v>
      </c>
      <c r="CX4" t="e">
        <f>AND('Data '!AC22,"AAAAACvmxWU=")</f>
        <v>#VALUE!</v>
      </c>
      <c r="CY4" t="e">
        <f>AND('Data '!#REF!,"AAAAACvmxWY=")</f>
        <v>#REF!</v>
      </c>
      <c r="CZ4" t="e">
        <f>AND('Data '!#REF!,"AAAAACvmxWc=")</f>
        <v>#REF!</v>
      </c>
      <c r="DA4" t="e">
        <f>AND('Data '!#REF!,"AAAAACvmxWg=")</f>
        <v>#REF!</v>
      </c>
      <c r="DB4" t="e">
        <f>AND('Data '!#REF!,"AAAAACvmxWk=")</f>
        <v>#REF!</v>
      </c>
      <c r="DC4" t="e">
        <f>AND('Data '!#REF!,"AAAAACvmxWo=")</f>
        <v>#REF!</v>
      </c>
      <c r="DD4" t="e">
        <f>AND('Data '!#REF!,"AAAAACvmxWs=")</f>
        <v>#REF!</v>
      </c>
      <c r="DE4" t="e">
        <f>AND('Data '!#REF!,"AAAAACvmxWw=")</f>
        <v>#REF!</v>
      </c>
      <c r="DF4" t="e">
        <f>AND('Data '!#REF!,"AAAAACvmxW0=")</f>
        <v>#REF!</v>
      </c>
      <c r="DG4" t="e">
        <f>AND('Data '!#REF!,"AAAAACvmxW4=")</f>
        <v>#REF!</v>
      </c>
      <c r="DH4" t="e">
        <f>AND('Data '!#REF!,"AAAAACvmxW8=")</f>
        <v>#REF!</v>
      </c>
      <c r="DI4">
        <f>IF('Data '!23:23,"AAAAACvmxXA=",0)</f>
        <v>0</v>
      </c>
      <c r="DJ4" t="e">
        <f>AND('Data '!A23,"AAAAACvmxXE=")</f>
        <v>#VALUE!</v>
      </c>
      <c r="DK4" t="e">
        <f>AND('Data '!B23,"AAAAACvmxXI=")</f>
        <v>#VALUE!</v>
      </c>
      <c r="DL4" t="e">
        <f>AND('Data '!C23,"AAAAACvmxXM=")</f>
        <v>#VALUE!</v>
      </c>
      <c r="DM4" t="e">
        <f>AND('Data '!D23,"AAAAACvmxXQ=")</f>
        <v>#VALUE!</v>
      </c>
      <c r="DN4" t="e">
        <f>AND('Data '!E23,"AAAAACvmxXU=")</f>
        <v>#VALUE!</v>
      </c>
      <c r="DO4" t="e">
        <f>AND('Data '!F23,"AAAAACvmxXY=")</f>
        <v>#VALUE!</v>
      </c>
      <c r="DP4" t="e">
        <f>AND('Data '!G23,"AAAAACvmxXc=")</f>
        <v>#VALUE!</v>
      </c>
      <c r="DQ4" t="e">
        <f>AND('Data '!H23,"AAAAACvmxXg=")</f>
        <v>#VALUE!</v>
      </c>
      <c r="DR4" t="e">
        <f>AND('Data '!I23,"AAAAACvmxXk=")</f>
        <v>#VALUE!</v>
      </c>
      <c r="DS4" t="e">
        <f>AND('Data '!J23,"AAAAACvmxXo=")</f>
        <v>#VALUE!</v>
      </c>
      <c r="DT4" t="e">
        <f>AND('Data '!K23,"AAAAACvmxXs=")</f>
        <v>#VALUE!</v>
      </c>
      <c r="DU4" t="e">
        <f>AND('Data '!L23,"AAAAACvmxXw=")</f>
        <v>#VALUE!</v>
      </c>
      <c r="DV4" t="e">
        <f>AND('Data '!M23,"AAAAACvmxX0=")</f>
        <v>#VALUE!</v>
      </c>
      <c r="DW4" t="e">
        <f>AND('Data '!N23,"AAAAACvmxX4=")</f>
        <v>#VALUE!</v>
      </c>
      <c r="DX4" t="e">
        <f>AND('Data '!O23,"AAAAACvmxX8=")</f>
        <v>#VALUE!</v>
      </c>
      <c r="DY4" t="e">
        <f>AND('Data '!P23,"AAAAACvmxYA=")</f>
        <v>#VALUE!</v>
      </c>
      <c r="DZ4" t="e">
        <f>AND('Data '!Q23,"AAAAACvmxYE=")</f>
        <v>#VALUE!</v>
      </c>
      <c r="EA4" t="e">
        <f>AND('Data '!R23,"AAAAACvmxYI=")</f>
        <v>#VALUE!</v>
      </c>
      <c r="EB4" t="e">
        <f>AND('Data '!S23,"AAAAACvmxYM=")</f>
        <v>#VALUE!</v>
      </c>
      <c r="EC4" t="e">
        <f>AND('Data '!T23,"AAAAACvmxYQ=")</f>
        <v>#VALUE!</v>
      </c>
      <c r="ED4" t="e">
        <f>AND('Data '!U23,"AAAAACvmxYU=")</f>
        <v>#VALUE!</v>
      </c>
      <c r="EE4" t="e">
        <f>AND('Data '!V23,"AAAAACvmxYY=")</f>
        <v>#VALUE!</v>
      </c>
      <c r="EF4" t="e">
        <f>AND('Data '!W23,"AAAAACvmxYc=")</f>
        <v>#VALUE!</v>
      </c>
      <c r="EG4" t="e">
        <f>AND('Data '!X23,"AAAAACvmxYg=")</f>
        <v>#VALUE!</v>
      </c>
      <c r="EH4" t="e">
        <f>AND('Data '!Y23,"AAAAACvmxYk=")</f>
        <v>#VALUE!</v>
      </c>
      <c r="EI4" t="e">
        <f>AND('Data '!Z23,"AAAAACvmxYo=")</f>
        <v>#VALUE!</v>
      </c>
      <c r="EJ4" t="e">
        <f>AND('Data '!AA23,"AAAAACvmxYs=")</f>
        <v>#VALUE!</v>
      </c>
      <c r="EK4" t="e">
        <f>AND('Data '!AB23,"AAAAACvmxYw=")</f>
        <v>#VALUE!</v>
      </c>
      <c r="EL4" t="e">
        <f>AND('Data '!AC23,"AAAAACvmxY0=")</f>
        <v>#VALUE!</v>
      </c>
      <c r="EM4" t="e">
        <f>AND('Data '!#REF!,"AAAAACvmxY4=")</f>
        <v>#REF!</v>
      </c>
      <c r="EN4" t="e">
        <f>AND('Data '!#REF!,"AAAAACvmxY8=")</f>
        <v>#REF!</v>
      </c>
      <c r="EO4" t="e">
        <f>AND('Data '!#REF!,"AAAAACvmxZA=")</f>
        <v>#REF!</v>
      </c>
      <c r="EP4" t="e">
        <f>AND('Data '!#REF!,"AAAAACvmxZE=")</f>
        <v>#REF!</v>
      </c>
      <c r="EQ4" t="e">
        <f>AND('Data '!#REF!,"AAAAACvmxZI=")</f>
        <v>#REF!</v>
      </c>
      <c r="ER4" t="e">
        <f>AND('Data '!#REF!,"AAAAACvmxZM=")</f>
        <v>#REF!</v>
      </c>
      <c r="ES4" t="e">
        <f>AND('Data '!#REF!,"AAAAACvmxZQ=")</f>
        <v>#REF!</v>
      </c>
      <c r="ET4" t="e">
        <f>AND('Data '!#REF!,"AAAAACvmxZU=")</f>
        <v>#REF!</v>
      </c>
      <c r="EU4" t="e">
        <f>AND('Data '!#REF!,"AAAAACvmxZY=")</f>
        <v>#REF!</v>
      </c>
      <c r="EV4" t="e">
        <f>AND('Data '!#REF!,"AAAAACvmxZc=")</f>
        <v>#REF!</v>
      </c>
      <c r="EW4">
        <f>IF('Data '!24:24,"AAAAACvmxZg=",0)</f>
        <v>0</v>
      </c>
      <c r="EX4" t="e">
        <f>AND('Data '!A24,"AAAAACvmxZk=")</f>
        <v>#VALUE!</v>
      </c>
      <c r="EY4" t="e">
        <f>AND('Data '!B24,"AAAAACvmxZo=")</f>
        <v>#VALUE!</v>
      </c>
      <c r="EZ4" t="e">
        <f>AND('Data '!C24,"AAAAACvmxZs=")</f>
        <v>#VALUE!</v>
      </c>
      <c r="FA4" t="e">
        <f>AND('Data '!D24,"AAAAACvmxZw=")</f>
        <v>#VALUE!</v>
      </c>
      <c r="FB4" t="e">
        <f>AND('Data '!E24,"AAAAACvmxZ0=")</f>
        <v>#VALUE!</v>
      </c>
      <c r="FC4" t="e">
        <f>AND('Data '!F24,"AAAAACvmxZ4=")</f>
        <v>#VALUE!</v>
      </c>
      <c r="FD4" t="e">
        <f>AND('Data '!G24,"AAAAACvmxZ8=")</f>
        <v>#VALUE!</v>
      </c>
      <c r="FE4" t="e">
        <f>AND('Data '!H24,"AAAAACvmxaA=")</f>
        <v>#VALUE!</v>
      </c>
      <c r="FF4" t="e">
        <f>AND('Data '!I24,"AAAAACvmxaE=")</f>
        <v>#VALUE!</v>
      </c>
      <c r="FG4" t="e">
        <f>AND('Data '!J24,"AAAAACvmxaI=")</f>
        <v>#VALUE!</v>
      </c>
      <c r="FH4" t="e">
        <f>AND('Data '!K24,"AAAAACvmxaM=")</f>
        <v>#VALUE!</v>
      </c>
      <c r="FI4" t="e">
        <f>AND('Data '!L24,"AAAAACvmxaQ=")</f>
        <v>#VALUE!</v>
      </c>
      <c r="FJ4" t="e">
        <f>AND('Data '!M24,"AAAAACvmxaU=")</f>
        <v>#VALUE!</v>
      </c>
      <c r="FK4" t="e">
        <f>AND('Data '!N24,"AAAAACvmxaY=")</f>
        <v>#VALUE!</v>
      </c>
      <c r="FL4" t="e">
        <f>AND('Data '!O24,"AAAAACvmxac=")</f>
        <v>#VALUE!</v>
      </c>
      <c r="FM4" t="e">
        <f>AND('Data '!P24,"AAAAACvmxag=")</f>
        <v>#VALUE!</v>
      </c>
      <c r="FN4" t="e">
        <f>AND('Data '!Q24,"AAAAACvmxak=")</f>
        <v>#VALUE!</v>
      </c>
      <c r="FO4" t="e">
        <f>AND('Data '!R24,"AAAAACvmxao=")</f>
        <v>#VALUE!</v>
      </c>
      <c r="FP4" t="e">
        <f>AND('Data '!S24,"AAAAACvmxas=")</f>
        <v>#VALUE!</v>
      </c>
      <c r="FQ4" t="e">
        <f>AND('Data '!T24,"AAAAACvmxaw=")</f>
        <v>#VALUE!</v>
      </c>
      <c r="FR4" t="e">
        <f>AND('Data '!U24,"AAAAACvmxa0=")</f>
        <v>#VALUE!</v>
      </c>
      <c r="FS4" t="e">
        <f>AND('Data '!V24,"AAAAACvmxa4=")</f>
        <v>#VALUE!</v>
      </c>
      <c r="FT4" t="e">
        <f>AND('Data '!W24,"AAAAACvmxa8=")</f>
        <v>#VALUE!</v>
      </c>
      <c r="FU4" t="e">
        <f>AND('Data '!X24,"AAAAACvmxbA=")</f>
        <v>#VALUE!</v>
      </c>
      <c r="FV4" t="e">
        <f>AND('Data '!Y24,"AAAAACvmxbE=")</f>
        <v>#VALUE!</v>
      </c>
      <c r="FW4" t="e">
        <f>AND('Data '!Z24,"AAAAACvmxbI=")</f>
        <v>#VALUE!</v>
      </c>
      <c r="FX4" t="e">
        <f>AND('Data '!AA24,"AAAAACvmxbM=")</f>
        <v>#VALUE!</v>
      </c>
      <c r="FY4" t="e">
        <f>AND('Data '!AB24,"AAAAACvmxbQ=")</f>
        <v>#VALUE!</v>
      </c>
      <c r="FZ4" t="e">
        <f>AND('Data '!AC24,"AAAAACvmxbU=")</f>
        <v>#VALUE!</v>
      </c>
      <c r="GA4" t="e">
        <f>AND('Data '!#REF!,"AAAAACvmxbY=")</f>
        <v>#REF!</v>
      </c>
      <c r="GB4" t="e">
        <f>AND('Data '!#REF!,"AAAAACvmxbc=")</f>
        <v>#REF!</v>
      </c>
      <c r="GC4" t="e">
        <f>AND('Data '!#REF!,"AAAAACvmxbg=")</f>
        <v>#REF!</v>
      </c>
      <c r="GD4" t="e">
        <f>AND('Data '!#REF!,"AAAAACvmxbk=")</f>
        <v>#REF!</v>
      </c>
      <c r="GE4" t="e">
        <f>AND('Data '!#REF!,"AAAAACvmxbo=")</f>
        <v>#REF!</v>
      </c>
      <c r="GF4" t="e">
        <f>AND('Data '!#REF!,"AAAAACvmxbs=")</f>
        <v>#REF!</v>
      </c>
      <c r="GG4" t="e">
        <f>AND('Data '!#REF!,"AAAAACvmxbw=")</f>
        <v>#REF!</v>
      </c>
      <c r="GH4" t="e">
        <f>AND('Data '!#REF!,"AAAAACvmxb0=")</f>
        <v>#REF!</v>
      </c>
      <c r="GI4" t="e">
        <f>AND('Data '!#REF!,"AAAAACvmxb4=")</f>
        <v>#REF!</v>
      </c>
      <c r="GJ4" t="e">
        <f>AND('Data '!#REF!,"AAAAACvmxb8=")</f>
        <v>#REF!</v>
      </c>
      <c r="GK4">
        <f>IF('Data '!25:25,"AAAAACvmxcA=",0)</f>
        <v>0</v>
      </c>
      <c r="GL4" t="e">
        <f>AND('Data '!A25,"AAAAACvmxcE=")</f>
        <v>#VALUE!</v>
      </c>
      <c r="GM4" t="e">
        <f>AND('Data '!B25,"AAAAACvmxcI=")</f>
        <v>#VALUE!</v>
      </c>
      <c r="GN4" t="e">
        <f>AND('Data '!C25,"AAAAACvmxcM=")</f>
        <v>#VALUE!</v>
      </c>
      <c r="GO4" t="e">
        <f>AND('Data '!D25,"AAAAACvmxcQ=")</f>
        <v>#VALUE!</v>
      </c>
      <c r="GP4" t="e">
        <f>AND('Data '!E25,"AAAAACvmxcU=")</f>
        <v>#VALUE!</v>
      </c>
      <c r="GQ4" t="e">
        <f>AND('Data '!F25,"AAAAACvmxcY=")</f>
        <v>#VALUE!</v>
      </c>
      <c r="GR4" t="e">
        <f>AND('Data '!G25,"AAAAACvmxcc=")</f>
        <v>#VALUE!</v>
      </c>
      <c r="GS4" t="e">
        <f>AND('Data '!H25,"AAAAACvmxcg=")</f>
        <v>#VALUE!</v>
      </c>
      <c r="GT4" t="e">
        <f>AND('Data '!I25,"AAAAACvmxck=")</f>
        <v>#VALUE!</v>
      </c>
      <c r="GU4" t="e">
        <f>AND('Data '!J25,"AAAAACvmxco=")</f>
        <v>#VALUE!</v>
      </c>
      <c r="GV4" t="e">
        <f>AND('Data '!K25,"AAAAACvmxcs=")</f>
        <v>#VALUE!</v>
      </c>
      <c r="GW4" t="e">
        <f>AND('Data '!L25,"AAAAACvmxcw=")</f>
        <v>#VALUE!</v>
      </c>
      <c r="GX4" t="e">
        <f>AND('Data '!M25,"AAAAACvmxc0=")</f>
        <v>#VALUE!</v>
      </c>
      <c r="GY4" t="e">
        <f>AND('Data '!N25,"AAAAACvmxc4=")</f>
        <v>#VALUE!</v>
      </c>
      <c r="GZ4" t="e">
        <f>AND('Data '!O25,"AAAAACvmxc8=")</f>
        <v>#VALUE!</v>
      </c>
      <c r="HA4" t="e">
        <f>AND('Data '!P25,"AAAAACvmxdA=")</f>
        <v>#VALUE!</v>
      </c>
      <c r="HB4" t="e">
        <f>AND('Data '!Q25,"AAAAACvmxdE=")</f>
        <v>#VALUE!</v>
      </c>
      <c r="HC4" t="e">
        <f>AND('Data '!R25,"AAAAACvmxdI=")</f>
        <v>#VALUE!</v>
      </c>
      <c r="HD4" t="e">
        <f>AND('Data '!S25,"AAAAACvmxdM=")</f>
        <v>#VALUE!</v>
      </c>
      <c r="HE4" t="e">
        <f>AND('Data '!T25,"AAAAACvmxdQ=")</f>
        <v>#VALUE!</v>
      </c>
      <c r="HF4" t="e">
        <f>AND('Data '!U25,"AAAAACvmxdU=")</f>
        <v>#VALUE!</v>
      </c>
      <c r="HG4" t="e">
        <f>AND('Data '!V25,"AAAAACvmxdY=")</f>
        <v>#VALUE!</v>
      </c>
      <c r="HH4" t="e">
        <f>AND('Data '!W25,"AAAAACvmxdc=")</f>
        <v>#VALUE!</v>
      </c>
      <c r="HI4" t="e">
        <f>AND('Data '!X25,"AAAAACvmxdg=")</f>
        <v>#VALUE!</v>
      </c>
      <c r="HJ4" t="e">
        <f>AND('Data '!Y25,"AAAAACvmxdk=")</f>
        <v>#VALUE!</v>
      </c>
      <c r="HK4" t="e">
        <f>AND('Data '!Z25,"AAAAACvmxdo=")</f>
        <v>#VALUE!</v>
      </c>
      <c r="HL4" t="e">
        <f>AND('Data '!AA25,"AAAAACvmxds=")</f>
        <v>#VALUE!</v>
      </c>
      <c r="HM4" t="e">
        <f>AND('Data '!AB25,"AAAAACvmxdw=")</f>
        <v>#VALUE!</v>
      </c>
      <c r="HN4" t="e">
        <f>AND('Data '!AC25,"AAAAACvmxd0=")</f>
        <v>#VALUE!</v>
      </c>
      <c r="HO4" t="e">
        <f>AND('Data '!#REF!,"AAAAACvmxd4=")</f>
        <v>#REF!</v>
      </c>
      <c r="HP4" t="e">
        <f>AND('Data '!#REF!,"AAAAACvmxd8=")</f>
        <v>#REF!</v>
      </c>
      <c r="HQ4" t="e">
        <f>AND('Data '!#REF!,"AAAAACvmxeA=")</f>
        <v>#REF!</v>
      </c>
      <c r="HR4" t="e">
        <f>AND('Data '!#REF!,"AAAAACvmxeE=")</f>
        <v>#REF!</v>
      </c>
      <c r="HS4" t="e">
        <f>AND('Data '!#REF!,"AAAAACvmxeI=")</f>
        <v>#REF!</v>
      </c>
      <c r="HT4" t="e">
        <f>AND('Data '!#REF!,"AAAAACvmxeM=")</f>
        <v>#REF!</v>
      </c>
      <c r="HU4" t="e">
        <f>AND('Data '!#REF!,"AAAAACvmxeQ=")</f>
        <v>#REF!</v>
      </c>
      <c r="HV4" t="e">
        <f>AND('Data '!#REF!,"AAAAACvmxeU=")</f>
        <v>#REF!</v>
      </c>
      <c r="HW4" t="e">
        <f>AND('Data '!#REF!,"AAAAACvmxeY=")</f>
        <v>#REF!</v>
      </c>
      <c r="HX4" t="e">
        <f>AND('Data '!#REF!,"AAAAACvmxec=")</f>
        <v>#REF!</v>
      </c>
      <c r="HY4">
        <f>IF('Data '!26:26,"AAAAACvmxeg=",0)</f>
        <v>0</v>
      </c>
      <c r="HZ4" t="e">
        <f>AND('Data '!A26,"AAAAACvmxek=")</f>
        <v>#VALUE!</v>
      </c>
      <c r="IA4" t="e">
        <f>AND('Data '!B26,"AAAAACvmxeo=")</f>
        <v>#VALUE!</v>
      </c>
      <c r="IB4" t="e">
        <f>AND('Data '!C26,"AAAAACvmxes=")</f>
        <v>#VALUE!</v>
      </c>
      <c r="IC4" t="e">
        <f>AND('Data '!D26,"AAAAACvmxew=")</f>
        <v>#VALUE!</v>
      </c>
      <c r="ID4" t="e">
        <f>AND('Data '!E26,"AAAAACvmxe0=")</f>
        <v>#VALUE!</v>
      </c>
      <c r="IE4" t="e">
        <f>AND('Data '!F26,"AAAAACvmxe4=")</f>
        <v>#VALUE!</v>
      </c>
      <c r="IF4" t="e">
        <f>AND('Data '!G26,"AAAAACvmxe8=")</f>
        <v>#VALUE!</v>
      </c>
      <c r="IG4" t="e">
        <f>AND('Data '!H26,"AAAAACvmxfA=")</f>
        <v>#VALUE!</v>
      </c>
      <c r="IH4" t="e">
        <f>AND('Data '!I26,"AAAAACvmxfE=")</f>
        <v>#VALUE!</v>
      </c>
      <c r="II4" t="e">
        <f>AND('Data '!J26,"AAAAACvmxfI=")</f>
        <v>#VALUE!</v>
      </c>
      <c r="IJ4" t="e">
        <f>AND('Data '!K26,"AAAAACvmxfM=")</f>
        <v>#VALUE!</v>
      </c>
      <c r="IK4" t="e">
        <f>AND('Data '!L26,"AAAAACvmxfQ=")</f>
        <v>#VALUE!</v>
      </c>
      <c r="IL4" t="e">
        <f>AND('Data '!M26,"AAAAACvmxfU=")</f>
        <v>#VALUE!</v>
      </c>
      <c r="IM4" t="e">
        <f>AND('Data '!N26,"AAAAACvmxfY=")</f>
        <v>#VALUE!</v>
      </c>
      <c r="IN4" t="e">
        <f>AND('Data '!O26,"AAAAACvmxfc=")</f>
        <v>#VALUE!</v>
      </c>
      <c r="IO4" t="e">
        <f>AND('Data '!P26,"AAAAACvmxfg=")</f>
        <v>#VALUE!</v>
      </c>
      <c r="IP4" t="e">
        <f>AND('Data '!Q26,"AAAAACvmxfk=")</f>
        <v>#VALUE!</v>
      </c>
      <c r="IQ4" t="e">
        <f>AND('Data '!R26,"AAAAACvmxfo=")</f>
        <v>#VALUE!</v>
      </c>
      <c r="IR4" t="e">
        <f>AND('Data '!S26,"AAAAACvmxfs=")</f>
        <v>#VALUE!</v>
      </c>
      <c r="IS4" t="e">
        <f>AND('Data '!T26,"AAAAACvmxfw=")</f>
        <v>#VALUE!</v>
      </c>
      <c r="IT4" t="e">
        <f>AND('Data '!U26,"AAAAACvmxf0=")</f>
        <v>#VALUE!</v>
      </c>
      <c r="IU4" t="e">
        <f>AND('Data '!V26,"AAAAACvmxf4=")</f>
        <v>#VALUE!</v>
      </c>
      <c r="IV4" t="e">
        <f>AND('Data '!W26,"AAAAACvmxf8=")</f>
        <v>#VALUE!</v>
      </c>
    </row>
    <row r="5" spans="1:256" x14ac:dyDescent="0.25">
      <c r="A5" t="e">
        <f>AND('Data '!X26,"AAAAAH//9wA=")</f>
        <v>#VALUE!</v>
      </c>
      <c r="B5" t="e">
        <f>AND('Data '!Y26,"AAAAAH//9wE=")</f>
        <v>#VALUE!</v>
      </c>
      <c r="C5" t="e">
        <f>AND('Data '!Z26,"AAAAAH//9wI=")</f>
        <v>#VALUE!</v>
      </c>
      <c r="D5" t="e">
        <f>AND('Data '!AA26,"AAAAAH//9wM=")</f>
        <v>#VALUE!</v>
      </c>
      <c r="E5" t="e">
        <f>AND('Data '!AB26,"AAAAAH//9wQ=")</f>
        <v>#VALUE!</v>
      </c>
      <c r="F5" t="e">
        <f>AND('Data '!AC26,"AAAAAH//9wU=")</f>
        <v>#VALUE!</v>
      </c>
      <c r="G5" t="e">
        <f>AND('Data '!#REF!,"AAAAAH//9wY=")</f>
        <v>#REF!</v>
      </c>
      <c r="H5" t="e">
        <f>AND('Data '!#REF!,"AAAAAH//9wc=")</f>
        <v>#REF!</v>
      </c>
      <c r="I5" t="e">
        <f>AND('Data '!#REF!,"AAAAAH//9wg=")</f>
        <v>#REF!</v>
      </c>
      <c r="J5" t="e">
        <f>AND('Data '!#REF!,"AAAAAH//9wk=")</f>
        <v>#REF!</v>
      </c>
      <c r="K5" t="e">
        <f>AND('Data '!#REF!,"AAAAAH//9wo=")</f>
        <v>#REF!</v>
      </c>
      <c r="L5" t="e">
        <f>AND('Data '!#REF!,"AAAAAH//9ws=")</f>
        <v>#REF!</v>
      </c>
      <c r="M5" t="e">
        <f>AND('Data '!#REF!,"AAAAAH//9ww=")</f>
        <v>#REF!</v>
      </c>
      <c r="N5" t="e">
        <f>AND('Data '!#REF!,"AAAAAH//9w0=")</f>
        <v>#REF!</v>
      </c>
      <c r="O5" t="e">
        <f>AND('Data '!#REF!,"AAAAAH//9w4=")</f>
        <v>#REF!</v>
      </c>
      <c r="P5" t="e">
        <f>AND('Data '!#REF!,"AAAAAH//9w8=")</f>
        <v>#REF!</v>
      </c>
      <c r="Q5" t="e">
        <f>IF('Data '!#REF!,"AAAAAH//9xA=",0)</f>
        <v>#REF!</v>
      </c>
      <c r="R5" t="e">
        <f>AND('Data '!#REF!,"AAAAAH//9xE=")</f>
        <v>#REF!</v>
      </c>
      <c r="S5" t="e">
        <f>AND('Data '!#REF!,"AAAAAH//9xI=")</f>
        <v>#REF!</v>
      </c>
      <c r="T5" t="e">
        <f>AND('Data '!#REF!,"AAAAAH//9xM=")</f>
        <v>#REF!</v>
      </c>
      <c r="U5" t="e">
        <f>AND('Data '!#REF!,"AAAAAH//9xQ=")</f>
        <v>#REF!</v>
      </c>
      <c r="V5" t="e">
        <f>AND('Data '!#REF!,"AAAAAH//9xU=")</f>
        <v>#REF!</v>
      </c>
      <c r="W5" t="e">
        <f>AND('Data '!#REF!,"AAAAAH//9xY=")</f>
        <v>#REF!</v>
      </c>
      <c r="X5" t="e">
        <f>AND('Data '!#REF!,"AAAAAH//9xc=")</f>
        <v>#REF!</v>
      </c>
      <c r="Y5" t="e">
        <f>AND('Data '!#REF!,"AAAAAH//9xg=")</f>
        <v>#REF!</v>
      </c>
      <c r="Z5" t="e">
        <f>AND('Data '!#REF!,"AAAAAH//9xk=")</f>
        <v>#REF!</v>
      </c>
      <c r="AA5" t="e">
        <f>AND('Data '!#REF!,"AAAAAH//9xo=")</f>
        <v>#REF!</v>
      </c>
      <c r="AB5" t="e">
        <f>AND('Data '!#REF!,"AAAAAH//9xs=")</f>
        <v>#REF!</v>
      </c>
      <c r="AC5" t="e">
        <f>AND('Data '!#REF!,"AAAAAH//9xw=")</f>
        <v>#REF!</v>
      </c>
      <c r="AD5" t="e">
        <f>AND('Data '!#REF!,"AAAAAH//9x0=")</f>
        <v>#REF!</v>
      </c>
      <c r="AE5" t="e">
        <f>AND('Data '!#REF!,"AAAAAH//9x4=")</f>
        <v>#REF!</v>
      </c>
      <c r="AF5" t="e">
        <f>AND('Data '!#REF!,"AAAAAH//9x8=")</f>
        <v>#REF!</v>
      </c>
      <c r="AG5" t="e">
        <f>AND('Data '!#REF!,"AAAAAH//9yA=")</f>
        <v>#REF!</v>
      </c>
      <c r="AH5" t="e">
        <f>AND('Data '!#REF!,"AAAAAH//9yE=")</f>
        <v>#REF!</v>
      </c>
      <c r="AI5" t="e">
        <f>AND('Data '!#REF!,"AAAAAH//9yI=")</f>
        <v>#REF!</v>
      </c>
      <c r="AJ5" t="e">
        <f>AND('Data '!#REF!,"AAAAAH//9yM=")</f>
        <v>#REF!</v>
      </c>
      <c r="AK5" t="e">
        <f>AND('Data '!#REF!,"AAAAAH//9yQ=")</f>
        <v>#REF!</v>
      </c>
      <c r="AL5" t="e">
        <f>AND('Data '!#REF!,"AAAAAH//9yU=")</f>
        <v>#REF!</v>
      </c>
      <c r="AM5" t="e">
        <f>AND('Data '!#REF!,"AAAAAH//9yY=")</f>
        <v>#REF!</v>
      </c>
      <c r="AN5" t="e">
        <f>AND('Data '!#REF!,"AAAAAH//9yc=")</f>
        <v>#REF!</v>
      </c>
      <c r="AO5" t="e">
        <f>AND('Data '!#REF!,"AAAAAH//9yg=")</f>
        <v>#REF!</v>
      </c>
      <c r="AP5" t="e">
        <f>AND('Data '!#REF!,"AAAAAH//9yk=")</f>
        <v>#REF!</v>
      </c>
      <c r="AQ5" t="e">
        <f>AND('Data '!#REF!,"AAAAAH//9yo=")</f>
        <v>#REF!</v>
      </c>
      <c r="AR5" t="e">
        <f>AND('Data '!#REF!,"AAAAAH//9ys=")</f>
        <v>#REF!</v>
      </c>
      <c r="AS5" t="e">
        <f>AND('Data '!#REF!,"AAAAAH//9yw=")</f>
        <v>#REF!</v>
      </c>
      <c r="AT5" t="e">
        <f>AND('Data '!#REF!,"AAAAAH//9y0=")</f>
        <v>#REF!</v>
      </c>
      <c r="AU5" t="e">
        <f>AND('Data '!#REF!,"AAAAAH//9y4=")</f>
        <v>#REF!</v>
      </c>
      <c r="AV5" t="e">
        <f>AND('Data '!#REF!,"AAAAAH//9y8=")</f>
        <v>#REF!</v>
      </c>
      <c r="AW5" t="e">
        <f>AND('Data '!#REF!,"AAAAAH//9zA=")</f>
        <v>#REF!</v>
      </c>
      <c r="AX5" t="e">
        <f>AND('Data '!#REF!,"AAAAAH//9zE=")</f>
        <v>#REF!</v>
      </c>
      <c r="AY5" t="e">
        <f>AND('Data '!#REF!,"AAAAAH//9zI=")</f>
        <v>#REF!</v>
      </c>
      <c r="AZ5" t="e">
        <f>AND('Data '!#REF!,"AAAAAH//9zM=")</f>
        <v>#REF!</v>
      </c>
      <c r="BA5" t="e">
        <f>AND('Data '!#REF!,"AAAAAH//9zQ=")</f>
        <v>#REF!</v>
      </c>
      <c r="BB5" t="e">
        <f>AND('Data '!#REF!,"AAAAAH//9zU=")</f>
        <v>#REF!</v>
      </c>
      <c r="BC5" t="e">
        <f>AND('Data '!#REF!,"AAAAAH//9zY=")</f>
        <v>#REF!</v>
      </c>
      <c r="BD5" t="e">
        <f>AND('Data '!#REF!,"AAAAAH//9zc=")</f>
        <v>#REF!</v>
      </c>
      <c r="BE5" t="e">
        <f>IF('Data '!#REF!,"AAAAAH//9zg=",0)</f>
        <v>#REF!</v>
      </c>
      <c r="BF5" t="e">
        <f>AND('Data '!#REF!,"AAAAAH//9zk=")</f>
        <v>#REF!</v>
      </c>
      <c r="BG5" t="e">
        <f>AND('Data '!#REF!,"AAAAAH//9zo=")</f>
        <v>#REF!</v>
      </c>
      <c r="BH5" t="e">
        <f>AND('Data '!#REF!,"AAAAAH//9zs=")</f>
        <v>#REF!</v>
      </c>
      <c r="BI5" t="e">
        <f>AND('Data '!#REF!,"AAAAAH//9zw=")</f>
        <v>#REF!</v>
      </c>
      <c r="BJ5" t="e">
        <f>AND('Data '!#REF!,"AAAAAH//9z0=")</f>
        <v>#REF!</v>
      </c>
      <c r="BK5" t="e">
        <f>AND('Data '!#REF!,"AAAAAH//9z4=")</f>
        <v>#REF!</v>
      </c>
      <c r="BL5" t="e">
        <f>AND('Data '!#REF!,"AAAAAH//9z8=")</f>
        <v>#REF!</v>
      </c>
      <c r="BM5" t="e">
        <f>AND('Data '!#REF!,"AAAAAH//90A=")</f>
        <v>#REF!</v>
      </c>
      <c r="BN5" t="e">
        <f>AND('Data '!#REF!,"AAAAAH//90E=")</f>
        <v>#REF!</v>
      </c>
      <c r="BO5" t="e">
        <f>AND('Data '!#REF!,"AAAAAH//90I=")</f>
        <v>#REF!</v>
      </c>
      <c r="BP5" t="e">
        <f>AND('Data '!#REF!,"AAAAAH//90M=")</f>
        <v>#REF!</v>
      </c>
      <c r="BQ5" t="e">
        <f>AND('Data '!#REF!,"AAAAAH//90Q=")</f>
        <v>#REF!</v>
      </c>
      <c r="BR5" t="e">
        <f>AND('Data '!#REF!,"AAAAAH//90U=")</f>
        <v>#REF!</v>
      </c>
      <c r="BS5" t="e">
        <f>AND('Data '!#REF!,"AAAAAH//90Y=")</f>
        <v>#REF!</v>
      </c>
      <c r="BT5" t="e">
        <f>AND('Data '!#REF!,"AAAAAH//90c=")</f>
        <v>#REF!</v>
      </c>
      <c r="BU5" t="e">
        <f>AND('Data '!#REF!,"AAAAAH//90g=")</f>
        <v>#REF!</v>
      </c>
      <c r="BV5" t="e">
        <f>AND('Data '!#REF!,"AAAAAH//90k=")</f>
        <v>#REF!</v>
      </c>
      <c r="BW5" t="e">
        <f>AND('Data '!#REF!,"AAAAAH//90o=")</f>
        <v>#REF!</v>
      </c>
      <c r="BX5" t="e">
        <f>AND('Data '!#REF!,"AAAAAH//90s=")</f>
        <v>#REF!</v>
      </c>
      <c r="BY5" t="e">
        <f>AND('Data '!#REF!,"AAAAAH//90w=")</f>
        <v>#REF!</v>
      </c>
      <c r="BZ5" t="e">
        <f>AND('Data '!#REF!,"AAAAAH//900=")</f>
        <v>#REF!</v>
      </c>
      <c r="CA5" t="e">
        <f>AND('Data '!#REF!,"AAAAAH//904=")</f>
        <v>#REF!</v>
      </c>
      <c r="CB5" t="e">
        <f>AND('Data '!#REF!,"AAAAAH//908=")</f>
        <v>#REF!</v>
      </c>
      <c r="CC5" t="e">
        <f>AND('Data '!#REF!,"AAAAAH//91A=")</f>
        <v>#REF!</v>
      </c>
      <c r="CD5" t="e">
        <f>AND('Data '!#REF!,"AAAAAH//91E=")</f>
        <v>#REF!</v>
      </c>
      <c r="CE5" t="e">
        <f>AND('Data '!#REF!,"AAAAAH//91I=")</f>
        <v>#REF!</v>
      </c>
      <c r="CF5" t="e">
        <f>AND('Data '!#REF!,"AAAAAH//91M=")</f>
        <v>#REF!</v>
      </c>
      <c r="CG5" t="e">
        <f>AND('Data '!#REF!,"AAAAAH//91Q=")</f>
        <v>#REF!</v>
      </c>
      <c r="CH5" t="e">
        <f>AND('Data '!#REF!,"AAAAAH//91U=")</f>
        <v>#REF!</v>
      </c>
      <c r="CI5" t="e">
        <f>AND('Data '!#REF!,"AAAAAH//91Y=")</f>
        <v>#REF!</v>
      </c>
      <c r="CJ5" t="e">
        <f>AND('Data '!#REF!,"AAAAAH//91c=")</f>
        <v>#REF!</v>
      </c>
      <c r="CK5" t="e">
        <f>AND('Data '!#REF!,"AAAAAH//91g=")</f>
        <v>#REF!</v>
      </c>
      <c r="CL5" t="e">
        <f>AND('Data '!#REF!,"AAAAAH//91k=")</f>
        <v>#REF!</v>
      </c>
      <c r="CM5" t="e">
        <f>AND('Data '!#REF!,"AAAAAH//91o=")</f>
        <v>#REF!</v>
      </c>
      <c r="CN5" t="e">
        <f>AND('Data '!#REF!,"AAAAAH//91s=")</f>
        <v>#REF!</v>
      </c>
      <c r="CO5" t="e">
        <f>AND('Data '!#REF!,"AAAAAH//91w=")</f>
        <v>#REF!</v>
      </c>
      <c r="CP5" t="e">
        <f>AND('Data '!#REF!,"AAAAAH//910=")</f>
        <v>#REF!</v>
      </c>
      <c r="CQ5" t="e">
        <f>AND('Data '!#REF!,"AAAAAH//914=")</f>
        <v>#REF!</v>
      </c>
      <c r="CR5" t="e">
        <f>AND('Data '!#REF!,"AAAAAH//918=")</f>
        <v>#REF!</v>
      </c>
      <c r="CS5" t="e">
        <f>IF('Data '!#REF!,"AAAAAH//92A=",0)</f>
        <v>#REF!</v>
      </c>
      <c r="CT5" t="e">
        <f>AND('Data '!#REF!,"AAAAAH//92E=")</f>
        <v>#REF!</v>
      </c>
      <c r="CU5" t="e">
        <f>AND('Data '!#REF!,"AAAAAH//92I=")</f>
        <v>#REF!</v>
      </c>
      <c r="CV5" t="e">
        <f>AND('Data '!#REF!,"AAAAAH//92M=")</f>
        <v>#REF!</v>
      </c>
      <c r="CW5" t="e">
        <f>AND('Data '!#REF!,"AAAAAH//92Q=")</f>
        <v>#REF!</v>
      </c>
      <c r="CX5" t="e">
        <f>AND('Data '!#REF!,"AAAAAH//92U=")</f>
        <v>#REF!</v>
      </c>
      <c r="CY5" t="e">
        <f>AND('Data '!#REF!,"AAAAAH//92Y=")</f>
        <v>#REF!</v>
      </c>
      <c r="CZ5" t="e">
        <f>AND('Data '!#REF!,"AAAAAH//92c=")</f>
        <v>#REF!</v>
      </c>
      <c r="DA5" t="e">
        <f>AND('Data '!#REF!,"AAAAAH//92g=")</f>
        <v>#REF!</v>
      </c>
      <c r="DB5" t="e">
        <f>AND('Data '!#REF!,"AAAAAH//92k=")</f>
        <v>#REF!</v>
      </c>
      <c r="DC5" t="e">
        <f>AND('Data '!#REF!,"AAAAAH//92o=")</f>
        <v>#REF!</v>
      </c>
      <c r="DD5" t="e">
        <f>AND('Data '!#REF!,"AAAAAH//92s=")</f>
        <v>#REF!</v>
      </c>
      <c r="DE5" t="e">
        <f>AND('Data '!#REF!,"AAAAAH//92w=")</f>
        <v>#REF!</v>
      </c>
      <c r="DF5" t="e">
        <f>AND('Data '!#REF!,"AAAAAH//920=")</f>
        <v>#REF!</v>
      </c>
      <c r="DG5" t="e">
        <f>AND('Data '!#REF!,"AAAAAH//924=")</f>
        <v>#REF!</v>
      </c>
      <c r="DH5" t="e">
        <f>AND('Data '!#REF!,"AAAAAH//928=")</f>
        <v>#REF!</v>
      </c>
      <c r="DI5" t="e">
        <f>AND('Data '!#REF!,"AAAAAH//93A=")</f>
        <v>#REF!</v>
      </c>
      <c r="DJ5" t="e">
        <f>AND('Data '!#REF!,"AAAAAH//93E=")</f>
        <v>#REF!</v>
      </c>
      <c r="DK5" t="e">
        <f>AND('Data '!#REF!,"AAAAAH//93I=")</f>
        <v>#REF!</v>
      </c>
      <c r="DL5" t="e">
        <f>AND('Data '!#REF!,"AAAAAH//93M=")</f>
        <v>#REF!</v>
      </c>
      <c r="DM5" t="e">
        <f>AND('Data '!#REF!,"AAAAAH//93Q=")</f>
        <v>#REF!</v>
      </c>
      <c r="DN5" t="e">
        <f>AND('Data '!#REF!,"AAAAAH//93U=")</f>
        <v>#REF!</v>
      </c>
      <c r="DO5" t="e">
        <f>AND('Data '!#REF!,"AAAAAH//93Y=")</f>
        <v>#REF!</v>
      </c>
      <c r="DP5" t="e">
        <f>AND('Data '!#REF!,"AAAAAH//93c=")</f>
        <v>#REF!</v>
      </c>
      <c r="DQ5" t="e">
        <f>AND('Data '!#REF!,"AAAAAH//93g=")</f>
        <v>#REF!</v>
      </c>
      <c r="DR5" t="e">
        <f>AND('Data '!#REF!,"AAAAAH//93k=")</f>
        <v>#REF!</v>
      </c>
      <c r="DS5" t="e">
        <f>AND('Data '!#REF!,"AAAAAH//93o=")</f>
        <v>#REF!</v>
      </c>
      <c r="DT5" t="e">
        <f>AND('Data '!#REF!,"AAAAAH//93s=")</f>
        <v>#REF!</v>
      </c>
      <c r="DU5" t="e">
        <f>AND('Data '!#REF!,"AAAAAH//93w=")</f>
        <v>#REF!</v>
      </c>
      <c r="DV5" t="e">
        <f>AND('Data '!#REF!,"AAAAAH//930=")</f>
        <v>#REF!</v>
      </c>
      <c r="DW5" t="e">
        <f>AND('Data '!#REF!,"AAAAAH//934=")</f>
        <v>#REF!</v>
      </c>
      <c r="DX5" t="e">
        <f>AND('Data '!#REF!,"AAAAAH//938=")</f>
        <v>#REF!</v>
      </c>
      <c r="DY5" t="e">
        <f>AND('Data '!#REF!,"AAAAAH//94A=")</f>
        <v>#REF!</v>
      </c>
      <c r="DZ5" t="e">
        <f>AND('Data '!#REF!,"AAAAAH//94E=")</f>
        <v>#REF!</v>
      </c>
      <c r="EA5" t="e">
        <f>AND('Data '!#REF!,"AAAAAH//94I=")</f>
        <v>#REF!</v>
      </c>
      <c r="EB5" t="e">
        <f>AND('Data '!#REF!,"AAAAAH//94M=")</f>
        <v>#REF!</v>
      </c>
      <c r="EC5" t="e">
        <f>AND('Data '!#REF!,"AAAAAH//94Q=")</f>
        <v>#REF!</v>
      </c>
      <c r="ED5" t="e">
        <f>AND('Data '!#REF!,"AAAAAH//94U=")</f>
        <v>#REF!</v>
      </c>
      <c r="EE5" t="e">
        <f>AND('Data '!#REF!,"AAAAAH//94Y=")</f>
        <v>#REF!</v>
      </c>
      <c r="EF5" t="e">
        <f>AND('Data '!#REF!,"AAAAAH//94c=")</f>
        <v>#REF!</v>
      </c>
      <c r="EG5" t="e">
        <f>IF('Data '!#REF!,"AAAAAH//94g=",0)</f>
        <v>#REF!</v>
      </c>
      <c r="EH5" t="e">
        <f>AND('Data '!#REF!,"AAAAAH//94k=")</f>
        <v>#REF!</v>
      </c>
      <c r="EI5" t="e">
        <f>AND('Data '!#REF!,"AAAAAH//94o=")</f>
        <v>#REF!</v>
      </c>
      <c r="EJ5" t="e">
        <f>AND('Data '!#REF!,"AAAAAH//94s=")</f>
        <v>#REF!</v>
      </c>
      <c r="EK5" t="e">
        <f>AND('Data '!#REF!,"AAAAAH//94w=")</f>
        <v>#REF!</v>
      </c>
      <c r="EL5" t="e">
        <f>AND('Data '!#REF!,"AAAAAH//940=")</f>
        <v>#REF!</v>
      </c>
      <c r="EM5" t="e">
        <f>AND('Data '!#REF!,"AAAAAH//944=")</f>
        <v>#REF!</v>
      </c>
      <c r="EN5" t="e">
        <f>AND('Data '!#REF!,"AAAAAH//948=")</f>
        <v>#REF!</v>
      </c>
      <c r="EO5" t="e">
        <f>AND('Data '!#REF!,"AAAAAH//95A=")</f>
        <v>#REF!</v>
      </c>
      <c r="EP5" t="e">
        <f>AND('Data '!#REF!,"AAAAAH//95E=")</f>
        <v>#REF!</v>
      </c>
      <c r="EQ5" t="e">
        <f>AND('Data '!#REF!,"AAAAAH//95I=")</f>
        <v>#REF!</v>
      </c>
      <c r="ER5" t="e">
        <f>AND('Data '!#REF!,"AAAAAH//95M=")</f>
        <v>#REF!</v>
      </c>
      <c r="ES5" t="e">
        <f>AND('Data '!#REF!,"AAAAAH//95Q=")</f>
        <v>#REF!</v>
      </c>
      <c r="ET5" t="e">
        <f>AND('Data '!#REF!,"AAAAAH//95U=")</f>
        <v>#REF!</v>
      </c>
      <c r="EU5" t="e">
        <f>AND('Data '!#REF!,"AAAAAH//95Y=")</f>
        <v>#REF!</v>
      </c>
      <c r="EV5" t="e">
        <f>AND('Data '!#REF!,"AAAAAH//95c=")</f>
        <v>#REF!</v>
      </c>
      <c r="EW5" t="e">
        <f>AND('Data '!#REF!,"AAAAAH//95g=")</f>
        <v>#REF!</v>
      </c>
      <c r="EX5" t="e">
        <f>AND('Data '!#REF!,"AAAAAH//95k=")</f>
        <v>#REF!</v>
      </c>
      <c r="EY5" t="e">
        <f>AND('Data '!#REF!,"AAAAAH//95o=")</f>
        <v>#REF!</v>
      </c>
      <c r="EZ5" t="e">
        <f>AND('Data '!#REF!,"AAAAAH//95s=")</f>
        <v>#REF!</v>
      </c>
      <c r="FA5" t="e">
        <f>AND('Data '!#REF!,"AAAAAH//95w=")</f>
        <v>#REF!</v>
      </c>
      <c r="FB5" t="e">
        <f>AND('Data '!#REF!,"AAAAAH//950=")</f>
        <v>#REF!</v>
      </c>
      <c r="FC5" t="e">
        <f>AND('Data '!#REF!,"AAAAAH//954=")</f>
        <v>#REF!</v>
      </c>
      <c r="FD5" t="e">
        <f>AND('Data '!#REF!,"AAAAAH//958=")</f>
        <v>#REF!</v>
      </c>
      <c r="FE5" t="e">
        <f>AND('Data '!#REF!,"AAAAAH//96A=")</f>
        <v>#REF!</v>
      </c>
      <c r="FF5" t="e">
        <f>AND('Data '!#REF!,"AAAAAH//96E=")</f>
        <v>#REF!</v>
      </c>
      <c r="FG5" t="e">
        <f>AND('Data '!#REF!,"AAAAAH//96I=")</f>
        <v>#REF!</v>
      </c>
      <c r="FH5" t="e">
        <f>AND('Data '!#REF!,"AAAAAH//96M=")</f>
        <v>#REF!</v>
      </c>
      <c r="FI5" t="e">
        <f>AND('Data '!#REF!,"AAAAAH//96Q=")</f>
        <v>#REF!</v>
      </c>
      <c r="FJ5" t="e">
        <f>AND('Data '!#REF!,"AAAAAH//96U=")</f>
        <v>#REF!</v>
      </c>
      <c r="FK5" t="e">
        <f>AND('Data '!#REF!,"AAAAAH//96Y=")</f>
        <v>#REF!</v>
      </c>
      <c r="FL5" t="e">
        <f>AND('Data '!#REF!,"AAAAAH//96c=")</f>
        <v>#REF!</v>
      </c>
      <c r="FM5" t="e">
        <f>AND('Data '!#REF!,"AAAAAH//96g=")</f>
        <v>#REF!</v>
      </c>
      <c r="FN5" t="e">
        <f>AND('Data '!#REF!,"AAAAAH//96k=")</f>
        <v>#REF!</v>
      </c>
      <c r="FO5" t="e">
        <f>AND('Data '!#REF!,"AAAAAH//96o=")</f>
        <v>#REF!</v>
      </c>
      <c r="FP5" t="e">
        <f>AND('Data '!#REF!,"AAAAAH//96s=")</f>
        <v>#REF!</v>
      </c>
      <c r="FQ5" t="e">
        <f>AND('Data '!#REF!,"AAAAAH//96w=")</f>
        <v>#REF!</v>
      </c>
      <c r="FR5" t="e">
        <f>AND('Data '!#REF!,"AAAAAH//960=")</f>
        <v>#REF!</v>
      </c>
      <c r="FS5" t="e">
        <f>AND('Data '!#REF!,"AAAAAH//964=")</f>
        <v>#REF!</v>
      </c>
      <c r="FT5" t="e">
        <f>AND('Data '!#REF!,"AAAAAH//968=")</f>
        <v>#REF!</v>
      </c>
      <c r="FU5" t="e">
        <f>IF('Data '!#REF!,"AAAAAH//97A=",0)</f>
        <v>#REF!</v>
      </c>
      <c r="FV5" t="e">
        <f>AND('Data '!#REF!,"AAAAAH//97E=")</f>
        <v>#REF!</v>
      </c>
      <c r="FW5" t="e">
        <f>AND('Data '!#REF!,"AAAAAH//97I=")</f>
        <v>#REF!</v>
      </c>
      <c r="FX5" t="e">
        <f>AND('Data '!#REF!,"AAAAAH//97M=")</f>
        <v>#REF!</v>
      </c>
      <c r="FY5" t="e">
        <f>AND('Data '!#REF!,"AAAAAH//97Q=")</f>
        <v>#REF!</v>
      </c>
      <c r="FZ5" t="e">
        <f>AND('Data '!#REF!,"AAAAAH//97U=")</f>
        <v>#REF!</v>
      </c>
      <c r="GA5" t="e">
        <f>AND('Data '!#REF!,"AAAAAH//97Y=")</f>
        <v>#REF!</v>
      </c>
      <c r="GB5" t="e">
        <f>AND('Data '!#REF!,"AAAAAH//97c=")</f>
        <v>#REF!</v>
      </c>
      <c r="GC5" t="e">
        <f>AND('Data '!#REF!,"AAAAAH//97g=")</f>
        <v>#REF!</v>
      </c>
      <c r="GD5" t="e">
        <f>AND('Data '!#REF!,"AAAAAH//97k=")</f>
        <v>#REF!</v>
      </c>
      <c r="GE5" t="e">
        <f>AND('Data '!#REF!,"AAAAAH//97o=")</f>
        <v>#REF!</v>
      </c>
      <c r="GF5" t="e">
        <f>AND('Data '!#REF!,"AAAAAH//97s=")</f>
        <v>#REF!</v>
      </c>
      <c r="GG5" t="e">
        <f>AND('Data '!#REF!,"AAAAAH//97w=")</f>
        <v>#REF!</v>
      </c>
      <c r="GH5" t="e">
        <f>AND('Data '!#REF!,"AAAAAH//970=")</f>
        <v>#REF!</v>
      </c>
      <c r="GI5" t="e">
        <f>AND('Data '!#REF!,"AAAAAH//974=")</f>
        <v>#REF!</v>
      </c>
      <c r="GJ5" t="e">
        <f>AND('Data '!#REF!,"AAAAAH//978=")</f>
        <v>#REF!</v>
      </c>
      <c r="GK5" t="e">
        <f>AND('Data '!#REF!,"AAAAAH//98A=")</f>
        <v>#REF!</v>
      </c>
      <c r="GL5" t="e">
        <f>AND('Data '!#REF!,"AAAAAH//98E=")</f>
        <v>#REF!</v>
      </c>
      <c r="GM5" t="e">
        <f>AND('Data '!#REF!,"AAAAAH//98I=")</f>
        <v>#REF!</v>
      </c>
      <c r="GN5" t="e">
        <f>AND('Data '!#REF!,"AAAAAH//98M=")</f>
        <v>#REF!</v>
      </c>
      <c r="GO5" t="e">
        <f>AND('Data '!#REF!,"AAAAAH//98Q=")</f>
        <v>#REF!</v>
      </c>
      <c r="GP5" t="e">
        <f>AND('Data '!#REF!,"AAAAAH//98U=")</f>
        <v>#REF!</v>
      </c>
      <c r="GQ5" t="e">
        <f>AND('Data '!#REF!,"AAAAAH//98Y=")</f>
        <v>#REF!</v>
      </c>
      <c r="GR5" t="e">
        <f>AND('Data '!#REF!,"AAAAAH//98c=")</f>
        <v>#REF!</v>
      </c>
      <c r="GS5" t="e">
        <f>AND('Data '!#REF!,"AAAAAH//98g=")</f>
        <v>#REF!</v>
      </c>
      <c r="GT5" t="e">
        <f>AND('Data '!#REF!,"AAAAAH//98k=")</f>
        <v>#REF!</v>
      </c>
      <c r="GU5" t="e">
        <f>AND('Data '!#REF!,"AAAAAH//98o=")</f>
        <v>#REF!</v>
      </c>
      <c r="GV5" t="e">
        <f>AND('Data '!#REF!,"AAAAAH//98s=")</f>
        <v>#REF!</v>
      </c>
      <c r="GW5" t="e">
        <f>AND('Data '!#REF!,"AAAAAH//98w=")</f>
        <v>#REF!</v>
      </c>
      <c r="GX5" t="e">
        <f>AND('Data '!#REF!,"AAAAAH//980=")</f>
        <v>#REF!</v>
      </c>
      <c r="GY5" t="e">
        <f>AND('Data '!#REF!,"AAAAAH//984=")</f>
        <v>#REF!</v>
      </c>
      <c r="GZ5" t="e">
        <f>AND('Data '!#REF!,"AAAAAH//988=")</f>
        <v>#REF!</v>
      </c>
      <c r="HA5" t="e">
        <f>AND('Data '!#REF!,"AAAAAH//99A=")</f>
        <v>#REF!</v>
      </c>
      <c r="HB5" t="e">
        <f>AND('Data '!#REF!,"AAAAAH//99E=")</f>
        <v>#REF!</v>
      </c>
      <c r="HC5" t="e">
        <f>AND('Data '!#REF!,"AAAAAH//99I=")</f>
        <v>#REF!</v>
      </c>
      <c r="HD5" t="e">
        <f>AND('Data '!#REF!,"AAAAAH//99M=")</f>
        <v>#REF!</v>
      </c>
      <c r="HE5" t="e">
        <f>AND('Data '!#REF!,"AAAAAH//99Q=")</f>
        <v>#REF!</v>
      </c>
      <c r="HF5" t="e">
        <f>AND('Data '!#REF!,"AAAAAH//99U=")</f>
        <v>#REF!</v>
      </c>
      <c r="HG5" t="e">
        <f>AND('Data '!#REF!,"AAAAAH//99Y=")</f>
        <v>#REF!</v>
      </c>
      <c r="HH5" t="e">
        <f>AND('Data '!#REF!,"AAAAAH//99c=")</f>
        <v>#REF!</v>
      </c>
      <c r="HI5" t="e">
        <f>IF('Data '!#REF!,"AAAAAH//99g=",0)</f>
        <v>#REF!</v>
      </c>
      <c r="HJ5" t="e">
        <f>AND('Data '!#REF!,"AAAAAH//99k=")</f>
        <v>#REF!</v>
      </c>
      <c r="HK5" t="e">
        <f>AND('Data '!#REF!,"AAAAAH//99o=")</f>
        <v>#REF!</v>
      </c>
      <c r="HL5" t="e">
        <f>AND('Data '!#REF!,"AAAAAH//99s=")</f>
        <v>#REF!</v>
      </c>
      <c r="HM5" t="e">
        <f>AND('Data '!#REF!,"AAAAAH//99w=")</f>
        <v>#REF!</v>
      </c>
      <c r="HN5" t="e">
        <f>AND('Data '!#REF!,"AAAAAH//990=")</f>
        <v>#REF!</v>
      </c>
      <c r="HO5" t="e">
        <f>AND('Data '!#REF!,"AAAAAH//994=")</f>
        <v>#REF!</v>
      </c>
      <c r="HP5" t="e">
        <f>AND('Data '!#REF!,"AAAAAH//998=")</f>
        <v>#REF!</v>
      </c>
      <c r="HQ5" t="e">
        <f>AND('Data '!#REF!,"AAAAAH//9+A=")</f>
        <v>#REF!</v>
      </c>
      <c r="HR5" t="e">
        <f>AND('Data '!#REF!,"AAAAAH//9+E=")</f>
        <v>#REF!</v>
      </c>
      <c r="HS5" t="e">
        <f>AND('Data '!#REF!,"AAAAAH//9+I=")</f>
        <v>#REF!</v>
      </c>
      <c r="HT5" t="e">
        <f>AND('Data '!#REF!,"AAAAAH//9+M=")</f>
        <v>#REF!</v>
      </c>
      <c r="HU5" t="e">
        <f>AND('Data '!#REF!,"AAAAAH//9+Q=")</f>
        <v>#REF!</v>
      </c>
      <c r="HV5" t="e">
        <f>AND('Data '!#REF!,"AAAAAH//9+U=")</f>
        <v>#REF!</v>
      </c>
      <c r="HW5" t="e">
        <f>AND('Data '!#REF!,"AAAAAH//9+Y=")</f>
        <v>#REF!</v>
      </c>
      <c r="HX5" t="e">
        <f>AND('Data '!#REF!,"AAAAAH//9+c=")</f>
        <v>#REF!</v>
      </c>
      <c r="HY5" t="e">
        <f>AND('Data '!#REF!,"AAAAAH//9+g=")</f>
        <v>#REF!</v>
      </c>
      <c r="HZ5" t="e">
        <f>AND('Data '!#REF!,"AAAAAH//9+k=")</f>
        <v>#REF!</v>
      </c>
      <c r="IA5" t="e">
        <f>AND('Data '!#REF!,"AAAAAH//9+o=")</f>
        <v>#REF!</v>
      </c>
      <c r="IB5" t="e">
        <f>AND('Data '!#REF!,"AAAAAH//9+s=")</f>
        <v>#REF!</v>
      </c>
      <c r="IC5" t="e">
        <f>AND('Data '!#REF!,"AAAAAH//9+w=")</f>
        <v>#REF!</v>
      </c>
      <c r="ID5" t="e">
        <f>AND('Data '!#REF!,"AAAAAH//9+0=")</f>
        <v>#REF!</v>
      </c>
      <c r="IE5" t="e">
        <f>AND('Data '!#REF!,"AAAAAH//9+4=")</f>
        <v>#REF!</v>
      </c>
      <c r="IF5" t="e">
        <f>AND('Data '!#REF!,"AAAAAH//9+8=")</f>
        <v>#REF!</v>
      </c>
      <c r="IG5" t="e">
        <f>AND('Data '!#REF!,"AAAAAH//9/A=")</f>
        <v>#REF!</v>
      </c>
      <c r="IH5" t="e">
        <f>AND('Data '!#REF!,"AAAAAH//9/E=")</f>
        <v>#REF!</v>
      </c>
      <c r="II5" t="e">
        <f>AND('Data '!#REF!,"AAAAAH//9/I=")</f>
        <v>#REF!</v>
      </c>
      <c r="IJ5" t="e">
        <f>AND('Data '!#REF!,"AAAAAH//9/M=")</f>
        <v>#REF!</v>
      </c>
      <c r="IK5" t="e">
        <f>AND('Data '!#REF!,"AAAAAH//9/Q=")</f>
        <v>#REF!</v>
      </c>
      <c r="IL5" t="e">
        <f>AND('Data '!#REF!,"AAAAAH//9/U=")</f>
        <v>#REF!</v>
      </c>
      <c r="IM5" t="e">
        <f>AND('Data '!#REF!,"AAAAAH//9/Y=")</f>
        <v>#REF!</v>
      </c>
      <c r="IN5" t="e">
        <f>AND('Data '!#REF!,"AAAAAH//9/c=")</f>
        <v>#REF!</v>
      </c>
      <c r="IO5" t="e">
        <f>AND('Data '!#REF!,"AAAAAH//9/g=")</f>
        <v>#REF!</v>
      </c>
      <c r="IP5" t="e">
        <f>AND('Data '!#REF!,"AAAAAH//9/k=")</f>
        <v>#REF!</v>
      </c>
      <c r="IQ5" t="e">
        <f>AND('Data '!#REF!,"AAAAAH//9/o=")</f>
        <v>#REF!</v>
      </c>
      <c r="IR5" t="e">
        <f>AND('Data '!#REF!,"AAAAAH//9/s=")</f>
        <v>#REF!</v>
      </c>
      <c r="IS5" t="e">
        <f>AND('Data '!#REF!,"AAAAAH//9/w=")</f>
        <v>#REF!</v>
      </c>
      <c r="IT5" t="e">
        <f>AND('Data '!#REF!,"AAAAAH//9/0=")</f>
        <v>#REF!</v>
      </c>
      <c r="IU5" t="e">
        <f>AND('Data '!#REF!,"AAAAAH//9/4=")</f>
        <v>#REF!</v>
      </c>
      <c r="IV5" t="e">
        <f>AND('Data '!#REF!,"AAAAAH//9/8=")</f>
        <v>#REF!</v>
      </c>
    </row>
    <row r="6" spans="1:256" x14ac:dyDescent="0.25">
      <c r="A6" t="e">
        <f>IF('Data '!#REF!,"AAAAAF/39QA=",0)</f>
        <v>#REF!</v>
      </c>
      <c r="B6" t="e">
        <f>AND('Data '!#REF!,"AAAAAF/39QE=")</f>
        <v>#REF!</v>
      </c>
      <c r="C6" t="e">
        <f>AND('Data '!#REF!,"AAAAAF/39QI=")</f>
        <v>#REF!</v>
      </c>
      <c r="D6" t="e">
        <f>AND('Data '!#REF!,"AAAAAF/39QM=")</f>
        <v>#REF!</v>
      </c>
      <c r="E6" t="e">
        <f>AND('Data '!#REF!,"AAAAAF/39QQ=")</f>
        <v>#REF!</v>
      </c>
      <c r="F6" t="e">
        <f>AND('Data '!#REF!,"AAAAAF/39QU=")</f>
        <v>#REF!</v>
      </c>
      <c r="G6" t="e">
        <f>AND('Data '!#REF!,"AAAAAF/39QY=")</f>
        <v>#REF!</v>
      </c>
      <c r="H6" t="e">
        <f>AND('Data '!#REF!,"AAAAAF/39Qc=")</f>
        <v>#REF!</v>
      </c>
      <c r="I6" t="e">
        <f>AND('Data '!#REF!,"AAAAAF/39Qg=")</f>
        <v>#REF!</v>
      </c>
      <c r="J6" t="e">
        <f>AND('Data '!#REF!,"AAAAAF/39Qk=")</f>
        <v>#REF!</v>
      </c>
      <c r="K6" t="e">
        <f>AND('Data '!#REF!,"AAAAAF/39Qo=")</f>
        <v>#REF!</v>
      </c>
      <c r="L6" t="e">
        <f>AND('Data '!#REF!,"AAAAAF/39Qs=")</f>
        <v>#REF!</v>
      </c>
      <c r="M6" t="e">
        <f>AND('Data '!#REF!,"AAAAAF/39Qw=")</f>
        <v>#REF!</v>
      </c>
      <c r="N6" t="e">
        <f>AND('Data '!#REF!,"AAAAAF/39Q0=")</f>
        <v>#REF!</v>
      </c>
      <c r="O6" t="e">
        <f>AND('Data '!#REF!,"AAAAAF/39Q4=")</f>
        <v>#REF!</v>
      </c>
      <c r="P6" t="e">
        <f>AND('Data '!#REF!,"AAAAAF/39Q8=")</f>
        <v>#REF!</v>
      </c>
      <c r="Q6" t="e">
        <f>AND('Data '!#REF!,"AAAAAF/39RA=")</f>
        <v>#REF!</v>
      </c>
      <c r="R6" t="e">
        <f>AND('Data '!#REF!,"AAAAAF/39RE=")</f>
        <v>#REF!</v>
      </c>
      <c r="S6" t="e">
        <f>AND('Data '!#REF!,"AAAAAF/39RI=")</f>
        <v>#REF!</v>
      </c>
      <c r="T6" t="e">
        <f>AND('Data '!#REF!,"AAAAAF/39RM=")</f>
        <v>#REF!</v>
      </c>
      <c r="U6" t="e">
        <f>AND('Data '!#REF!,"AAAAAF/39RQ=")</f>
        <v>#REF!</v>
      </c>
      <c r="V6" t="e">
        <f>AND('Data '!#REF!,"AAAAAF/39RU=")</f>
        <v>#REF!</v>
      </c>
      <c r="W6" t="e">
        <f>AND('Data '!#REF!,"AAAAAF/39RY=")</f>
        <v>#REF!</v>
      </c>
      <c r="X6" t="e">
        <f>AND('Data '!#REF!,"AAAAAF/39Rc=")</f>
        <v>#REF!</v>
      </c>
      <c r="Y6" t="e">
        <f>AND('Data '!#REF!,"AAAAAF/39Rg=")</f>
        <v>#REF!</v>
      </c>
      <c r="Z6" t="e">
        <f>AND('Data '!#REF!,"AAAAAF/39Rk=")</f>
        <v>#REF!</v>
      </c>
      <c r="AA6" t="e">
        <f>AND('Data '!#REF!,"AAAAAF/39Ro=")</f>
        <v>#REF!</v>
      </c>
      <c r="AB6" t="e">
        <f>AND('Data '!#REF!,"AAAAAF/39Rs=")</f>
        <v>#REF!</v>
      </c>
      <c r="AC6" t="e">
        <f>AND('Data '!#REF!,"AAAAAF/39Rw=")</f>
        <v>#REF!</v>
      </c>
      <c r="AD6" t="e">
        <f>AND('Data '!#REF!,"AAAAAF/39R0=")</f>
        <v>#REF!</v>
      </c>
      <c r="AE6" t="e">
        <f>AND('Data '!#REF!,"AAAAAF/39R4=")</f>
        <v>#REF!</v>
      </c>
      <c r="AF6" t="e">
        <f>AND('Data '!#REF!,"AAAAAF/39R8=")</f>
        <v>#REF!</v>
      </c>
      <c r="AG6" t="e">
        <f>AND('Data '!#REF!,"AAAAAF/39SA=")</f>
        <v>#REF!</v>
      </c>
      <c r="AH6" t="e">
        <f>AND('Data '!#REF!,"AAAAAF/39SE=")</f>
        <v>#REF!</v>
      </c>
      <c r="AI6" t="e">
        <f>AND('Data '!#REF!,"AAAAAF/39SI=")</f>
        <v>#REF!</v>
      </c>
      <c r="AJ6" t="e">
        <f>AND('Data '!#REF!,"AAAAAF/39SM=")</f>
        <v>#REF!</v>
      </c>
      <c r="AK6" t="e">
        <f>AND('Data '!#REF!,"AAAAAF/39SQ=")</f>
        <v>#REF!</v>
      </c>
      <c r="AL6" t="e">
        <f>AND('Data '!#REF!,"AAAAAF/39SU=")</f>
        <v>#REF!</v>
      </c>
      <c r="AM6" t="e">
        <f>AND('Data '!#REF!,"AAAAAF/39SY=")</f>
        <v>#REF!</v>
      </c>
      <c r="AN6" t="e">
        <f>AND('Data '!#REF!,"AAAAAF/39Sc=")</f>
        <v>#REF!</v>
      </c>
      <c r="AO6" t="e">
        <f>IF('Data '!#REF!,"AAAAAF/39Sg=",0)</f>
        <v>#REF!</v>
      </c>
      <c r="AP6" t="e">
        <f>AND('Data '!#REF!,"AAAAAF/39Sk=")</f>
        <v>#REF!</v>
      </c>
      <c r="AQ6" t="e">
        <f>AND('Data '!#REF!,"AAAAAF/39So=")</f>
        <v>#REF!</v>
      </c>
      <c r="AR6" t="e">
        <f>AND('Data '!#REF!,"AAAAAF/39Ss=")</f>
        <v>#REF!</v>
      </c>
      <c r="AS6" t="e">
        <f>AND('Data '!#REF!,"AAAAAF/39Sw=")</f>
        <v>#REF!</v>
      </c>
      <c r="AT6" t="e">
        <f>AND('Data '!#REF!,"AAAAAF/39S0=")</f>
        <v>#REF!</v>
      </c>
      <c r="AU6" t="e">
        <f>AND('Data '!#REF!,"AAAAAF/39S4=")</f>
        <v>#REF!</v>
      </c>
      <c r="AV6" t="e">
        <f>AND('Data '!#REF!,"AAAAAF/39S8=")</f>
        <v>#REF!</v>
      </c>
      <c r="AW6" t="e">
        <f>AND('Data '!#REF!,"AAAAAF/39TA=")</f>
        <v>#REF!</v>
      </c>
      <c r="AX6" t="e">
        <f>AND('Data '!#REF!,"AAAAAF/39TE=")</f>
        <v>#REF!</v>
      </c>
      <c r="AY6" t="e">
        <f>AND('Data '!#REF!,"AAAAAF/39TI=")</f>
        <v>#REF!</v>
      </c>
      <c r="AZ6" t="e">
        <f>AND('Data '!#REF!,"AAAAAF/39TM=")</f>
        <v>#REF!</v>
      </c>
      <c r="BA6" t="e">
        <f>AND('Data '!#REF!,"AAAAAF/39TQ=")</f>
        <v>#REF!</v>
      </c>
      <c r="BB6" t="e">
        <f>AND('Data '!#REF!,"AAAAAF/39TU=")</f>
        <v>#REF!</v>
      </c>
      <c r="BC6" t="e">
        <f>AND('Data '!#REF!,"AAAAAF/39TY=")</f>
        <v>#REF!</v>
      </c>
      <c r="BD6" t="e">
        <f>AND('Data '!#REF!,"AAAAAF/39Tc=")</f>
        <v>#REF!</v>
      </c>
      <c r="BE6" t="e">
        <f>AND('Data '!#REF!,"AAAAAF/39Tg=")</f>
        <v>#REF!</v>
      </c>
      <c r="BF6" t="e">
        <f>AND('Data '!#REF!,"AAAAAF/39Tk=")</f>
        <v>#REF!</v>
      </c>
      <c r="BG6" t="e">
        <f>AND('Data '!#REF!,"AAAAAF/39To=")</f>
        <v>#REF!</v>
      </c>
      <c r="BH6" t="e">
        <f>AND('Data '!#REF!,"AAAAAF/39Ts=")</f>
        <v>#REF!</v>
      </c>
      <c r="BI6" t="e">
        <f>AND('Data '!#REF!,"AAAAAF/39Tw=")</f>
        <v>#REF!</v>
      </c>
      <c r="BJ6" t="e">
        <f>AND('Data '!#REF!,"AAAAAF/39T0=")</f>
        <v>#REF!</v>
      </c>
      <c r="BK6" t="e">
        <f>AND('Data '!#REF!,"AAAAAF/39T4=")</f>
        <v>#REF!</v>
      </c>
      <c r="BL6" t="e">
        <f>AND('Data '!#REF!,"AAAAAF/39T8=")</f>
        <v>#REF!</v>
      </c>
      <c r="BM6" t="e">
        <f>AND('Data '!#REF!,"AAAAAF/39UA=")</f>
        <v>#REF!</v>
      </c>
      <c r="BN6" t="e">
        <f>AND('Data '!#REF!,"AAAAAF/39UE=")</f>
        <v>#REF!</v>
      </c>
      <c r="BO6" t="e">
        <f>AND('Data '!#REF!,"AAAAAF/39UI=")</f>
        <v>#REF!</v>
      </c>
      <c r="BP6" t="e">
        <f>AND('Data '!#REF!,"AAAAAF/39UM=")</f>
        <v>#REF!</v>
      </c>
      <c r="BQ6" t="e">
        <f>AND('Data '!#REF!,"AAAAAF/39UQ=")</f>
        <v>#REF!</v>
      </c>
      <c r="BR6" t="e">
        <f>AND('Data '!#REF!,"AAAAAF/39UU=")</f>
        <v>#REF!</v>
      </c>
      <c r="BS6" t="e">
        <f>AND('Data '!#REF!,"AAAAAF/39UY=")</f>
        <v>#REF!</v>
      </c>
      <c r="BT6" t="e">
        <f>AND('Data '!#REF!,"AAAAAF/39Uc=")</f>
        <v>#REF!</v>
      </c>
      <c r="BU6" t="e">
        <f>AND('Data '!#REF!,"AAAAAF/39Ug=")</f>
        <v>#REF!</v>
      </c>
      <c r="BV6" t="e">
        <f>AND('Data '!#REF!,"AAAAAF/39Uk=")</f>
        <v>#REF!</v>
      </c>
      <c r="BW6" t="e">
        <f>AND('Data '!#REF!,"AAAAAF/39Uo=")</f>
        <v>#REF!</v>
      </c>
      <c r="BX6" t="e">
        <f>AND('Data '!#REF!,"AAAAAF/39Us=")</f>
        <v>#REF!</v>
      </c>
      <c r="BY6" t="e">
        <f>AND('Data '!#REF!,"AAAAAF/39Uw=")</f>
        <v>#REF!</v>
      </c>
      <c r="BZ6" t="e">
        <f>AND('Data '!#REF!,"AAAAAF/39U0=")</f>
        <v>#REF!</v>
      </c>
      <c r="CA6" t="e">
        <f>AND('Data '!#REF!,"AAAAAF/39U4=")</f>
        <v>#REF!</v>
      </c>
      <c r="CB6" t="e">
        <f>AND('Data '!#REF!,"AAAAAF/39U8=")</f>
        <v>#REF!</v>
      </c>
      <c r="CC6">
        <f>IF('Data '!27:27,"AAAAAF/39VA=",0)</f>
        <v>0</v>
      </c>
      <c r="CD6" t="e">
        <f>AND('Data '!A27,"AAAAAF/39VE=")</f>
        <v>#VALUE!</v>
      </c>
      <c r="CE6" t="e">
        <f>AND('Data '!B27,"AAAAAF/39VI=")</f>
        <v>#VALUE!</v>
      </c>
      <c r="CF6" t="e">
        <f>AND('Data '!C27,"AAAAAF/39VM=")</f>
        <v>#VALUE!</v>
      </c>
      <c r="CG6" t="e">
        <f>AND('Data '!D27,"AAAAAF/39VQ=")</f>
        <v>#VALUE!</v>
      </c>
      <c r="CH6" t="e">
        <f>AND('Data '!E27,"AAAAAF/39VU=")</f>
        <v>#VALUE!</v>
      </c>
      <c r="CI6" t="e">
        <f>AND('Data '!F27,"AAAAAF/39VY=")</f>
        <v>#VALUE!</v>
      </c>
      <c r="CJ6" t="e">
        <f>AND('Data '!G27,"AAAAAF/39Vc=")</f>
        <v>#VALUE!</v>
      </c>
      <c r="CK6" t="e">
        <f>AND('Data '!H27,"AAAAAF/39Vg=")</f>
        <v>#VALUE!</v>
      </c>
      <c r="CL6" t="e">
        <f>AND('Data '!I27,"AAAAAF/39Vk=")</f>
        <v>#VALUE!</v>
      </c>
      <c r="CM6" t="e">
        <f>AND('Data '!J27,"AAAAAF/39Vo=")</f>
        <v>#VALUE!</v>
      </c>
      <c r="CN6" t="e">
        <f>AND('Data '!K27,"AAAAAF/39Vs=")</f>
        <v>#VALUE!</v>
      </c>
      <c r="CO6" t="e">
        <f>AND('Data '!L27,"AAAAAF/39Vw=")</f>
        <v>#VALUE!</v>
      </c>
      <c r="CP6" t="e">
        <f>AND('Data '!M27,"AAAAAF/39V0=")</f>
        <v>#VALUE!</v>
      </c>
      <c r="CQ6" t="e">
        <f>AND('Data '!N27,"AAAAAF/39V4=")</f>
        <v>#VALUE!</v>
      </c>
      <c r="CR6" t="e">
        <f>AND('Data '!O27,"AAAAAF/39V8=")</f>
        <v>#VALUE!</v>
      </c>
      <c r="CS6" t="e">
        <f>AND('Data '!P27,"AAAAAF/39WA=")</f>
        <v>#VALUE!</v>
      </c>
      <c r="CT6" t="e">
        <f>AND('Data '!Q27,"AAAAAF/39WE=")</f>
        <v>#VALUE!</v>
      </c>
      <c r="CU6" t="e">
        <f>AND('Data '!R27,"AAAAAF/39WI=")</f>
        <v>#VALUE!</v>
      </c>
      <c r="CV6" t="e">
        <f>AND('Data '!S27,"AAAAAF/39WM=")</f>
        <v>#VALUE!</v>
      </c>
      <c r="CW6" t="e">
        <f>AND('Data '!T27,"AAAAAF/39WQ=")</f>
        <v>#VALUE!</v>
      </c>
      <c r="CX6" t="e">
        <f>AND('Data '!U27,"AAAAAF/39WU=")</f>
        <v>#VALUE!</v>
      </c>
      <c r="CY6" t="e">
        <f>AND('Data '!V27,"AAAAAF/39WY=")</f>
        <v>#VALUE!</v>
      </c>
      <c r="CZ6" t="e">
        <f>AND('Data '!W27,"AAAAAF/39Wc=")</f>
        <v>#VALUE!</v>
      </c>
      <c r="DA6" t="e">
        <f>AND('Data '!X27,"AAAAAF/39Wg=")</f>
        <v>#VALUE!</v>
      </c>
      <c r="DB6" t="e">
        <f>AND('Data '!Y27,"AAAAAF/39Wk=")</f>
        <v>#VALUE!</v>
      </c>
      <c r="DC6" t="e">
        <f>AND('Data '!Z27,"AAAAAF/39Wo=")</f>
        <v>#VALUE!</v>
      </c>
      <c r="DD6" t="e">
        <f>AND('Data '!AA27,"AAAAAF/39Ws=")</f>
        <v>#VALUE!</v>
      </c>
      <c r="DE6" t="e">
        <f>AND('Data '!AB27,"AAAAAF/39Ww=")</f>
        <v>#VALUE!</v>
      </c>
      <c r="DF6" t="e">
        <f>AND('Data '!AC27,"AAAAAF/39W0=")</f>
        <v>#VALUE!</v>
      </c>
      <c r="DG6" t="e">
        <f>AND('Data '!#REF!,"AAAAAF/39W4=")</f>
        <v>#REF!</v>
      </c>
      <c r="DH6" t="e">
        <f>AND('Data '!#REF!,"AAAAAF/39W8=")</f>
        <v>#REF!</v>
      </c>
      <c r="DI6" t="e">
        <f>AND('Data '!#REF!,"AAAAAF/39XA=")</f>
        <v>#REF!</v>
      </c>
      <c r="DJ6" t="e">
        <f>AND('Data '!#REF!,"AAAAAF/39XE=")</f>
        <v>#REF!</v>
      </c>
      <c r="DK6" t="e">
        <f>AND('Data '!#REF!,"AAAAAF/39XI=")</f>
        <v>#REF!</v>
      </c>
      <c r="DL6" t="e">
        <f>AND('Data '!#REF!,"AAAAAF/39XM=")</f>
        <v>#REF!</v>
      </c>
      <c r="DM6" t="e">
        <f>AND('Data '!#REF!,"AAAAAF/39XQ=")</f>
        <v>#REF!</v>
      </c>
      <c r="DN6" t="e">
        <f>AND('Data '!#REF!,"AAAAAF/39XU=")</f>
        <v>#REF!</v>
      </c>
      <c r="DO6" t="e">
        <f>AND('Data '!#REF!,"AAAAAF/39XY=")</f>
        <v>#REF!</v>
      </c>
      <c r="DP6" t="e">
        <f>AND('Data '!#REF!,"AAAAAF/39Xc=")</f>
        <v>#REF!</v>
      </c>
      <c r="DQ6">
        <f>IF('Data '!28:28,"AAAAAF/39Xg=",0)</f>
        <v>0</v>
      </c>
      <c r="DR6" t="e">
        <f>AND('Data '!A28,"AAAAAF/39Xk=")</f>
        <v>#VALUE!</v>
      </c>
      <c r="DS6" t="e">
        <f>AND('Data '!B28,"AAAAAF/39Xo=")</f>
        <v>#VALUE!</v>
      </c>
      <c r="DT6" t="e">
        <f>AND('Data '!C28,"AAAAAF/39Xs=")</f>
        <v>#VALUE!</v>
      </c>
      <c r="DU6" t="e">
        <f>AND('Data '!D28,"AAAAAF/39Xw=")</f>
        <v>#VALUE!</v>
      </c>
      <c r="DV6" t="e">
        <f>AND('Data '!E28,"AAAAAF/39X0=")</f>
        <v>#VALUE!</v>
      </c>
      <c r="DW6" t="e">
        <f>AND('Data '!F28,"AAAAAF/39X4=")</f>
        <v>#VALUE!</v>
      </c>
      <c r="DX6" t="e">
        <f>AND('Data '!G28,"AAAAAF/39X8=")</f>
        <v>#VALUE!</v>
      </c>
      <c r="DY6" t="e">
        <f>AND('Data '!H28,"AAAAAF/39YA=")</f>
        <v>#VALUE!</v>
      </c>
      <c r="DZ6" t="e">
        <f>AND('Data '!I28,"AAAAAF/39YE=")</f>
        <v>#VALUE!</v>
      </c>
      <c r="EA6" t="e">
        <f>AND('Data '!J28,"AAAAAF/39YI=")</f>
        <v>#VALUE!</v>
      </c>
      <c r="EB6" t="e">
        <f>AND('Data '!K28,"AAAAAF/39YM=")</f>
        <v>#VALUE!</v>
      </c>
      <c r="EC6" t="e">
        <f>AND('Data '!L28,"AAAAAF/39YQ=")</f>
        <v>#VALUE!</v>
      </c>
      <c r="ED6" t="e">
        <f>AND('Data '!M28,"AAAAAF/39YU=")</f>
        <v>#VALUE!</v>
      </c>
      <c r="EE6" t="e">
        <f>AND('Data '!N28,"AAAAAF/39YY=")</f>
        <v>#VALUE!</v>
      </c>
      <c r="EF6" t="e">
        <f>AND('Data '!O28,"AAAAAF/39Yc=")</f>
        <v>#VALUE!</v>
      </c>
      <c r="EG6" t="e">
        <f>AND('Data '!P28,"AAAAAF/39Yg=")</f>
        <v>#VALUE!</v>
      </c>
      <c r="EH6" t="e">
        <f>AND('Data '!Q28,"AAAAAF/39Yk=")</f>
        <v>#VALUE!</v>
      </c>
      <c r="EI6" t="e">
        <f>AND('Data '!R28,"AAAAAF/39Yo=")</f>
        <v>#VALUE!</v>
      </c>
      <c r="EJ6" t="e">
        <f>AND('Data '!S28,"AAAAAF/39Ys=")</f>
        <v>#VALUE!</v>
      </c>
      <c r="EK6" t="e">
        <f>AND('Data '!T28,"AAAAAF/39Yw=")</f>
        <v>#VALUE!</v>
      </c>
      <c r="EL6" t="e">
        <f>AND('Data '!U28,"AAAAAF/39Y0=")</f>
        <v>#VALUE!</v>
      </c>
      <c r="EM6" t="e">
        <f>AND('Data '!V28,"AAAAAF/39Y4=")</f>
        <v>#VALUE!</v>
      </c>
      <c r="EN6" t="e">
        <f>AND('Data '!W28,"AAAAAF/39Y8=")</f>
        <v>#VALUE!</v>
      </c>
      <c r="EO6" t="e">
        <f>AND('Data '!X28,"AAAAAF/39ZA=")</f>
        <v>#VALUE!</v>
      </c>
      <c r="EP6" t="e">
        <f>AND('Data '!Y28,"AAAAAF/39ZE=")</f>
        <v>#VALUE!</v>
      </c>
      <c r="EQ6" t="e">
        <f>AND('Data '!Z28,"AAAAAF/39ZI=")</f>
        <v>#VALUE!</v>
      </c>
      <c r="ER6" t="e">
        <f>AND('Data '!AA28,"AAAAAF/39ZM=")</f>
        <v>#VALUE!</v>
      </c>
      <c r="ES6" t="e">
        <f>AND('Data '!AB28,"AAAAAF/39ZQ=")</f>
        <v>#VALUE!</v>
      </c>
      <c r="ET6" t="e">
        <f>AND('Data '!AC28,"AAAAAF/39ZU=")</f>
        <v>#VALUE!</v>
      </c>
      <c r="EU6" t="e">
        <f>AND('Data '!#REF!,"AAAAAF/39ZY=")</f>
        <v>#REF!</v>
      </c>
      <c r="EV6" t="e">
        <f>AND('Data '!#REF!,"AAAAAF/39Zc=")</f>
        <v>#REF!</v>
      </c>
      <c r="EW6" t="e">
        <f>AND('Data '!#REF!,"AAAAAF/39Zg=")</f>
        <v>#REF!</v>
      </c>
      <c r="EX6" t="e">
        <f>AND('Data '!#REF!,"AAAAAF/39Zk=")</f>
        <v>#REF!</v>
      </c>
      <c r="EY6" t="e">
        <f>AND('Data '!#REF!,"AAAAAF/39Zo=")</f>
        <v>#REF!</v>
      </c>
      <c r="EZ6" t="e">
        <f>AND('Data '!#REF!,"AAAAAF/39Zs=")</f>
        <v>#REF!</v>
      </c>
      <c r="FA6" t="e">
        <f>AND('Data '!#REF!,"AAAAAF/39Zw=")</f>
        <v>#REF!</v>
      </c>
      <c r="FB6" t="e">
        <f>AND('Data '!#REF!,"AAAAAF/39Z0=")</f>
        <v>#REF!</v>
      </c>
      <c r="FC6" t="e">
        <f>AND('Data '!#REF!,"AAAAAF/39Z4=")</f>
        <v>#REF!</v>
      </c>
      <c r="FD6" t="e">
        <f>AND('Data '!#REF!,"AAAAAF/39Z8=")</f>
        <v>#REF!</v>
      </c>
      <c r="FE6">
        <f>IF('Data '!29:29,"AAAAAF/39aA=",0)</f>
        <v>0</v>
      </c>
      <c r="FF6" t="e">
        <f>AND('Data '!A29,"AAAAAF/39aE=")</f>
        <v>#VALUE!</v>
      </c>
      <c r="FG6" t="e">
        <f>AND('Data '!B29,"AAAAAF/39aI=")</f>
        <v>#VALUE!</v>
      </c>
      <c r="FH6" t="e">
        <f>AND('Data '!C29,"AAAAAF/39aM=")</f>
        <v>#VALUE!</v>
      </c>
      <c r="FI6" t="e">
        <f>AND('Data '!D29,"AAAAAF/39aQ=")</f>
        <v>#VALUE!</v>
      </c>
      <c r="FJ6" t="e">
        <f>AND('Data '!E29,"AAAAAF/39aU=")</f>
        <v>#VALUE!</v>
      </c>
      <c r="FK6" t="e">
        <f>AND('Data '!F29,"AAAAAF/39aY=")</f>
        <v>#VALUE!</v>
      </c>
      <c r="FL6" t="e">
        <f>AND('Data '!G29,"AAAAAF/39ac=")</f>
        <v>#VALUE!</v>
      </c>
      <c r="FM6" t="e">
        <f>AND('Data '!H29,"AAAAAF/39ag=")</f>
        <v>#VALUE!</v>
      </c>
      <c r="FN6" t="e">
        <f>AND('Data '!I29,"AAAAAF/39ak=")</f>
        <v>#VALUE!</v>
      </c>
      <c r="FO6" t="e">
        <f>AND('Data '!J29,"AAAAAF/39ao=")</f>
        <v>#VALUE!</v>
      </c>
      <c r="FP6" t="e">
        <f>AND('Data '!K29,"AAAAAF/39as=")</f>
        <v>#VALUE!</v>
      </c>
      <c r="FQ6" t="e">
        <f>AND('Data '!L29,"AAAAAF/39aw=")</f>
        <v>#VALUE!</v>
      </c>
      <c r="FR6" t="e">
        <f>AND('Data '!M29,"AAAAAF/39a0=")</f>
        <v>#VALUE!</v>
      </c>
      <c r="FS6" t="e">
        <f>AND('Data '!N29,"AAAAAF/39a4=")</f>
        <v>#VALUE!</v>
      </c>
      <c r="FT6" t="e">
        <f>AND('Data '!O29,"AAAAAF/39a8=")</f>
        <v>#VALUE!</v>
      </c>
      <c r="FU6" t="e">
        <f>AND('Data '!P29,"AAAAAF/39bA=")</f>
        <v>#VALUE!</v>
      </c>
      <c r="FV6" t="e">
        <f>AND('Data '!Q29,"AAAAAF/39bE=")</f>
        <v>#VALUE!</v>
      </c>
      <c r="FW6" t="e">
        <f>AND('Data '!R29,"AAAAAF/39bI=")</f>
        <v>#VALUE!</v>
      </c>
      <c r="FX6" t="e">
        <f>AND('Data '!S29,"AAAAAF/39bM=")</f>
        <v>#VALUE!</v>
      </c>
      <c r="FY6" t="e">
        <f>AND('Data '!T29,"AAAAAF/39bQ=")</f>
        <v>#VALUE!</v>
      </c>
      <c r="FZ6" t="e">
        <f>AND('Data '!U29,"AAAAAF/39bU=")</f>
        <v>#VALUE!</v>
      </c>
      <c r="GA6" t="e">
        <f>AND('Data '!V29,"AAAAAF/39bY=")</f>
        <v>#VALUE!</v>
      </c>
      <c r="GB6" t="e">
        <f>AND('Data '!W29,"AAAAAF/39bc=")</f>
        <v>#VALUE!</v>
      </c>
      <c r="GC6" t="e">
        <f>AND('Data '!X29,"AAAAAF/39bg=")</f>
        <v>#VALUE!</v>
      </c>
      <c r="GD6" t="e">
        <f>AND('Data '!Y29,"AAAAAF/39bk=")</f>
        <v>#VALUE!</v>
      </c>
      <c r="GE6" t="e">
        <f>AND('Data '!Z29,"AAAAAF/39bo=")</f>
        <v>#VALUE!</v>
      </c>
      <c r="GF6" t="e">
        <f>AND('Data '!AA29,"AAAAAF/39bs=")</f>
        <v>#VALUE!</v>
      </c>
      <c r="GG6" t="e">
        <f>AND('Data '!AB29,"AAAAAF/39bw=")</f>
        <v>#VALUE!</v>
      </c>
      <c r="GH6" t="e">
        <f>AND('Data '!AC29,"AAAAAF/39b0=")</f>
        <v>#VALUE!</v>
      </c>
      <c r="GI6" t="e">
        <f>AND('Data '!#REF!,"AAAAAF/39b4=")</f>
        <v>#REF!</v>
      </c>
      <c r="GJ6" t="e">
        <f>AND('Data '!#REF!,"AAAAAF/39b8=")</f>
        <v>#REF!</v>
      </c>
      <c r="GK6" t="e">
        <f>AND('Data '!#REF!,"AAAAAF/39cA=")</f>
        <v>#REF!</v>
      </c>
      <c r="GL6" t="e">
        <f>AND('Data '!#REF!,"AAAAAF/39cE=")</f>
        <v>#REF!</v>
      </c>
      <c r="GM6" t="e">
        <f>AND('Data '!#REF!,"AAAAAF/39cI=")</f>
        <v>#REF!</v>
      </c>
      <c r="GN6" t="e">
        <f>AND('Data '!#REF!,"AAAAAF/39cM=")</f>
        <v>#REF!</v>
      </c>
      <c r="GO6" t="e">
        <f>AND('Data '!#REF!,"AAAAAF/39cQ=")</f>
        <v>#REF!</v>
      </c>
      <c r="GP6" t="e">
        <f>AND('Data '!#REF!,"AAAAAF/39cU=")</f>
        <v>#REF!</v>
      </c>
      <c r="GQ6" t="e">
        <f>AND('Data '!#REF!,"AAAAAF/39cY=")</f>
        <v>#REF!</v>
      </c>
      <c r="GR6" t="e">
        <f>AND('Data '!#REF!,"AAAAAF/39cc=")</f>
        <v>#REF!</v>
      </c>
      <c r="GS6">
        <f>IF('Data '!30:30,"AAAAAF/39cg=",0)</f>
        <v>0</v>
      </c>
      <c r="GT6" t="e">
        <f>AND('Data '!A30,"AAAAAF/39ck=")</f>
        <v>#VALUE!</v>
      </c>
      <c r="GU6" t="e">
        <f>AND('Data '!B30,"AAAAAF/39co=")</f>
        <v>#VALUE!</v>
      </c>
      <c r="GV6" t="e">
        <f>AND('Data '!C30,"AAAAAF/39cs=")</f>
        <v>#VALUE!</v>
      </c>
      <c r="GW6" t="e">
        <f>AND('Data '!D30,"AAAAAF/39cw=")</f>
        <v>#VALUE!</v>
      </c>
      <c r="GX6" t="e">
        <f>AND('Data '!E30,"AAAAAF/39c0=")</f>
        <v>#VALUE!</v>
      </c>
      <c r="GY6" t="e">
        <f>AND('Data '!F30,"AAAAAF/39c4=")</f>
        <v>#VALUE!</v>
      </c>
      <c r="GZ6" t="e">
        <f>AND('Data '!G30,"AAAAAF/39c8=")</f>
        <v>#VALUE!</v>
      </c>
      <c r="HA6" t="e">
        <f>AND('Data '!H30,"AAAAAF/39dA=")</f>
        <v>#VALUE!</v>
      </c>
      <c r="HB6" t="e">
        <f>AND('Data '!I30,"AAAAAF/39dE=")</f>
        <v>#VALUE!</v>
      </c>
      <c r="HC6" t="e">
        <f>AND('Data '!J30,"AAAAAF/39dI=")</f>
        <v>#VALUE!</v>
      </c>
      <c r="HD6" t="e">
        <f>AND('Data '!K30,"AAAAAF/39dM=")</f>
        <v>#VALUE!</v>
      </c>
      <c r="HE6" t="e">
        <f>AND('Data '!L30,"AAAAAF/39dQ=")</f>
        <v>#VALUE!</v>
      </c>
      <c r="HF6" t="e">
        <f>AND('Data '!M30,"AAAAAF/39dU=")</f>
        <v>#VALUE!</v>
      </c>
      <c r="HG6" t="e">
        <f>AND('Data '!N30,"AAAAAF/39dY=")</f>
        <v>#VALUE!</v>
      </c>
      <c r="HH6" t="e">
        <f>AND('Data '!O30,"AAAAAF/39dc=")</f>
        <v>#VALUE!</v>
      </c>
      <c r="HI6" t="e">
        <f>AND('Data '!P30,"AAAAAF/39dg=")</f>
        <v>#VALUE!</v>
      </c>
      <c r="HJ6" t="e">
        <f>AND('Data '!Q30,"AAAAAF/39dk=")</f>
        <v>#VALUE!</v>
      </c>
      <c r="HK6" t="e">
        <f>AND('Data '!R30,"AAAAAF/39do=")</f>
        <v>#VALUE!</v>
      </c>
      <c r="HL6" t="e">
        <f>AND('Data '!S30,"AAAAAF/39ds=")</f>
        <v>#VALUE!</v>
      </c>
      <c r="HM6" t="e">
        <f>AND('Data '!T30,"AAAAAF/39dw=")</f>
        <v>#VALUE!</v>
      </c>
      <c r="HN6" t="e">
        <f>AND('Data '!U30,"AAAAAF/39d0=")</f>
        <v>#VALUE!</v>
      </c>
      <c r="HO6" t="e">
        <f>AND('Data '!V30,"AAAAAF/39d4=")</f>
        <v>#VALUE!</v>
      </c>
      <c r="HP6" t="e">
        <f>AND('Data '!W30,"AAAAAF/39d8=")</f>
        <v>#VALUE!</v>
      </c>
      <c r="HQ6" t="e">
        <f>AND('Data '!X30,"AAAAAF/39eA=")</f>
        <v>#VALUE!</v>
      </c>
      <c r="HR6" t="e">
        <f>AND('Data '!Y30,"AAAAAF/39eE=")</f>
        <v>#VALUE!</v>
      </c>
      <c r="HS6" t="e">
        <f>AND('Data '!Z30,"AAAAAF/39eI=")</f>
        <v>#VALUE!</v>
      </c>
      <c r="HT6" t="e">
        <f>AND('Data '!AA30,"AAAAAF/39eM=")</f>
        <v>#VALUE!</v>
      </c>
      <c r="HU6" t="e">
        <f>AND('Data '!AB30,"AAAAAF/39eQ=")</f>
        <v>#VALUE!</v>
      </c>
      <c r="HV6" t="e">
        <f>AND('Data '!AC30,"AAAAAF/39eU=")</f>
        <v>#VALUE!</v>
      </c>
      <c r="HW6" t="e">
        <f>AND('Data '!#REF!,"AAAAAF/39eY=")</f>
        <v>#REF!</v>
      </c>
      <c r="HX6" t="e">
        <f>AND('Data '!#REF!,"AAAAAF/39ec=")</f>
        <v>#REF!</v>
      </c>
      <c r="HY6" t="e">
        <f>AND('Data '!#REF!,"AAAAAF/39eg=")</f>
        <v>#REF!</v>
      </c>
      <c r="HZ6" t="e">
        <f>AND('Data '!#REF!,"AAAAAF/39ek=")</f>
        <v>#REF!</v>
      </c>
      <c r="IA6" t="e">
        <f>AND('Data '!#REF!,"AAAAAF/39eo=")</f>
        <v>#REF!</v>
      </c>
      <c r="IB6" t="e">
        <f>AND('Data '!#REF!,"AAAAAF/39es=")</f>
        <v>#REF!</v>
      </c>
      <c r="IC6" t="e">
        <f>AND('Data '!#REF!,"AAAAAF/39ew=")</f>
        <v>#REF!</v>
      </c>
      <c r="ID6" t="e">
        <f>AND('Data '!#REF!,"AAAAAF/39e0=")</f>
        <v>#REF!</v>
      </c>
      <c r="IE6" t="e">
        <f>AND('Data '!#REF!,"AAAAAF/39e4=")</f>
        <v>#REF!</v>
      </c>
      <c r="IF6" t="e">
        <f>AND('Data '!#REF!,"AAAAAF/39e8=")</f>
        <v>#REF!</v>
      </c>
      <c r="IG6">
        <f>IF('Data '!31:31,"AAAAAF/39fA=",0)</f>
        <v>0</v>
      </c>
      <c r="IH6" t="e">
        <f>AND('Data '!A31,"AAAAAF/39fE=")</f>
        <v>#VALUE!</v>
      </c>
      <c r="II6" t="e">
        <f>AND('Data '!B31,"AAAAAF/39fI=")</f>
        <v>#VALUE!</v>
      </c>
      <c r="IJ6" t="e">
        <f>AND('Data '!C31,"AAAAAF/39fM=")</f>
        <v>#VALUE!</v>
      </c>
      <c r="IK6" t="e">
        <f>AND('Data '!D31,"AAAAAF/39fQ=")</f>
        <v>#VALUE!</v>
      </c>
      <c r="IL6" t="e">
        <f>AND('Data '!E31,"AAAAAF/39fU=")</f>
        <v>#VALUE!</v>
      </c>
      <c r="IM6" t="e">
        <f>AND('Data '!F31,"AAAAAF/39fY=")</f>
        <v>#VALUE!</v>
      </c>
      <c r="IN6" t="e">
        <f>AND('Data '!G31,"AAAAAF/39fc=")</f>
        <v>#VALUE!</v>
      </c>
      <c r="IO6" t="e">
        <f>AND('Data '!H31,"AAAAAF/39fg=")</f>
        <v>#VALUE!</v>
      </c>
      <c r="IP6" t="e">
        <f>AND('Data '!I31,"AAAAAF/39fk=")</f>
        <v>#VALUE!</v>
      </c>
      <c r="IQ6" t="e">
        <f>AND('Data '!J31,"AAAAAF/39fo=")</f>
        <v>#VALUE!</v>
      </c>
      <c r="IR6" t="e">
        <f>AND('Data '!K31,"AAAAAF/39fs=")</f>
        <v>#VALUE!</v>
      </c>
      <c r="IS6" t="e">
        <f>AND('Data '!L31,"AAAAAF/39fw=")</f>
        <v>#VALUE!</v>
      </c>
      <c r="IT6" t="e">
        <f>AND('Data '!M31,"AAAAAF/39f0=")</f>
        <v>#VALUE!</v>
      </c>
      <c r="IU6" t="e">
        <f>AND('Data '!N31,"AAAAAF/39f4=")</f>
        <v>#VALUE!</v>
      </c>
      <c r="IV6" t="e">
        <f>AND('Data '!O31,"AAAAAF/39f8=")</f>
        <v>#VALUE!</v>
      </c>
    </row>
    <row r="7" spans="1:256" x14ac:dyDescent="0.25">
      <c r="A7" t="e">
        <f>AND('Data '!P31,"AAAAAF96GQA=")</f>
        <v>#VALUE!</v>
      </c>
      <c r="B7" t="e">
        <f>AND('Data '!Q31,"AAAAAF96GQE=")</f>
        <v>#VALUE!</v>
      </c>
      <c r="C7" t="e">
        <f>AND('Data '!R31,"AAAAAF96GQI=")</f>
        <v>#VALUE!</v>
      </c>
      <c r="D7" t="e">
        <f>AND('Data '!S31,"AAAAAF96GQM=")</f>
        <v>#VALUE!</v>
      </c>
      <c r="E7" t="e">
        <f>AND('Data '!T31,"AAAAAF96GQQ=")</f>
        <v>#VALUE!</v>
      </c>
      <c r="F7" t="e">
        <f>AND('Data '!U31,"AAAAAF96GQU=")</f>
        <v>#VALUE!</v>
      </c>
      <c r="G7" t="e">
        <f>AND('Data '!V31,"AAAAAF96GQY=")</f>
        <v>#VALUE!</v>
      </c>
      <c r="H7" t="e">
        <f>AND('Data '!W31,"AAAAAF96GQc=")</f>
        <v>#VALUE!</v>
      </c>
      <c r="I7" t="e">
        <f>AND('Data '!X31,"AAAAAF96GQg=")</f>
        <v>#VALUE!</v>
      </c>
      <c r="J7" t="e">
        <f>AND('Data '!Y31,"AAAAAF96GQk=")</f>
        <v>#VALUE!</v>
      </c>
      <c r="K7" t="e">
        <f>AND('Data '!Z31,"AAAAAF96GQo=")</f>
        <v>#VALUE!</v>
      </c>
      <c r="L7" t="e">
        <f>AND('Data '!AA31,"AAAAAF96GQs=")</f>
        <v>#VALUE!</v>
      </c>
      <c r="M7" t="e">
        <f>AND('Data '!AB31,"AAAAAF96GQw=")</f>
        <v>#VALUE!</v>
      </c>
      <c r="N7" t="e">
        <f>AND('Data '!AC31,"AAAAAF96GQ0=")</f>
        <v>#VALUE!</v>
      </c>
      <c r="O7" t="e">
        <f>AND('Data '!#REF!,"AAAAAF96GQ4=")</f>
        <v>#REF!</v>
      </c>
      <c r="P7" t="e">
        <f>AND('Data '!#REF!,"AAAAAF96GQ8=")</f>
        <v>#REF!</v>
      </c>
      <c r="Q7" t="e">
        <f>AND('Data '!#REF!,"AAAAAF96GRA=")</f>
        <v>#REF!</v>
      </c>
      <c r="R7" t="e">
        <f>AND('Data '!#REF!,"AAAAAF96GRE=")</f>
        <v>#REF!</v>
      </c>
      <c r="S7" t="e">
        <f>AND('Data '!#REF!,"AAAAAF96GRI=")</f>
        <v>#REF!</v>
      </c>
      <c r="T7" t="e">
        <f>AND('Data '!#REF!,"AAAAAF96GRM=")</f>
        <v>#REF!</v>
      </c>
      <c r="U7" t="e">
        <f>AND('Data '!#REF!,"AAAAAF96GRQ=")</f>
        <v>#REF!</v>
      </c>
      <c r="V7" t="e">
        <f>AND('Data '!#REF!,"AAAAAF96GRU=")</f>
        <v>#REF!</v>
      </c>
      <c r="W7" t="e">
        <f>AND('Data '!#REF!,"AAAAAF96GRY=")</f>
        <v>#REF!</v>
      </c>
      <c r="X7" t="e">
        <f>AND('Data '!#REF!,"AAAAAF96GRc=")</f>
        <v>#REF!</v>
      </c>
      <c r="Y7">
        <f>IF('Data '!32:32,"AAAAAF96GRg=",0)</f>
        <v>0</v>
      </c>
      <c r="Z7" t="e">
        <f>AND('Data '!A32,"AAAAAF96GRk=")</f>
        <v>#VALUE!</v>
      </c>
      <c r="AA7" t="e">
        <f>AND('Data '!B32,"AAAAAF96GRo=")</f>
        <v>#VALUE!</v>
      </c>
      <c r="AB7" t="e">
        <f>AND('Data '!C32,"AAAAAF96GRs=")</f>
        <v>#VALUE!</v>
      </c>
      <c r="AC7" t="e">
        <f>AND('Data '!D32,"AAAAAF96GRw=")</f>
        <v>#VALUE!</v>
      </c>
      <c r="AD7" t="e">
        <f>AND('Data '!E32,"AAAAAF96GR0=")</f>
        <v>#VALUE!</v>
      </c>
      <c r="AE7" t="e">
        <f>AND('Data '!F32,"AAAAAF96GR4=")</f>
        <v>#VALUE!</v>
      </c>
      <c r="AF7" t="e">
        <f>AND('Data '!G32,"AAAAAF96GR8=")</f>
        <v>#VALUE!</v>
      </c>
      <c r="AG7" t="e">
        <f>AND('Data '!H32,"AAAAAF96GSA=")</f>
        <v>#VALUE!</v>
      </c>
      <c r="AH7" t="e">
        <f>AND('Data '!I32,"AAAAAF96GSE=")</f>
        <v>#VALUE!</v>
      </c>
      <c r="AI7" t="e">
        <f>AND('Data '!J32,"AAAAAF96GSI=")</f>
        <v>#VALUE!</v>
      </c>
      <c r="AJ7" t="e">
        <f>AND('Data '!K32,"AAAAAF96GSM=")</f>
        <v>#VALUE!</v>
      </c>
      <c r="AK7" t="e">
        <f>AND('Data '!L32,"AAAAAF96GSQ=")</f>
        <v>#VALUE!</v>
      </c>
      <c r="AL7" t="e">
        <f>AND('Data '!M32,"AAAAAF96GSU=")</f>
        <v>#VALUE!</v>
      </c>
      <c r="AM7" t="e">
        <f>AND('Data '!N32,"AAAAAF96GSY=")</f>
        <v>#VALUE!</v>
      </c>
      <c r="AN7" t="e">
        <f>AND('Data '!O32,"AAAAAF96GSc=")</f>
        <v>#VALUE!</v>
      </c>
      <c r="AO7" t="e">
        <f>AND('Data '!P32,"AAAAAF96GSg=")</f>
        <v>#VALUE!</v>
      </c>
      <c r="AP7" t="e">
        <f>AND('Data '!Q32,"AAAAAF96GSk=")</f>
        <v>#VALUE!</v>
      </c>
      <c r="AQ7" t="e">
        <f>AND('Data '!R32,"AAAAAF96GSo=")</f>
        <v>#VALUE!</v>
      </c>
      <c r="AR7" t="e">
        <f>AND('Data '!S32,"AAAAAF96GSs=")</f>
        <v>#VALUE!</v>
      </c>
      <c r="AS7" t="e">
        <f>AND('Data '!T32,"AAAAAF96GSw=")</f>
        <v>#VALUE!</v>
      </c>
      <c r="AT7" t="e">
        <f>AND('Data '!U32,"AAAAAF96GS0=")</f>
        <v>#VALUE!</v>
      </c>
      <c r="AU7" t="e">
        <f>AND('Data '!V32,"AAAAAF96GS4=")</f>
        <v>#VALUE!</v>
      </c>
      <c r="AV7" t="e">
        <f>AND('Data '!W32,"AAAAAF96GS8=")</f>
        <v>#VALUE!</v>
      </c>
      <c r="AW7" t="e">
        <f>AND('Data '!X32,"AAAAAF96GTA=")</f>
        <v>#VALUE!</v>
      </c>
      <c r="AX7" t="e">
        <f>AND('Data '!Y32,"AAAAAF96GTE=")</f>
        <v>#VALUE!</v>
      </c>
      <c r="AY7" t="e">
        <f>AND('Data '!Z32,"AAAAAF96GTI=")</f>
        <v>#VALUE!</v>
      </c>
      <c r="AZ7" t="e">
        <f>AND('Data '!AA32,"AAAAAF96GTM=")</f>
        <v>#VALUE!</v>
      </c>
      <c r="BA7" t="e">
        <f>AND('Data '!AB32,"AAAAAF96GTQ=")</f>
        <v>#VALUE!</v>
      </c>
      <c r="BB7" t="e">
        <f>AND('Data '!AC32,"AAAAAF96GTU=")</f>
        <v>#VALUE!</v>
      </c>
      <c r="BC7" t="e">
        <f>AND('Data '!#REF!,"AAAAAF96GTY=")</f>
        <v>#REF!</v>
      </c>
      <c r="BD7" t="e">
        <f>AND('Data '!#REF!,"AAAAAF96GTc=")</f>
        <v>#REF!</v>
      </c>
      <c r="BE7" t="e">
        <f>AND('Data '!#REF!,"AAAAAF96GTg=")</f>
        <v>#REF!</v>
      </c>
      <c r="BF7" t="e">
        <f>AND('Data '!#REF!,"AAAAAF96GTk=")</f>
        <v>#REF!</v>
      </c>
      <c r="BG7" t="e">
        <f>AND('Data '!#REF!,"AAAAAF96GTo=")</f>
        <v>#REF!</v>
      </c>
      <c r="BH7" t="e">
        <f>AND('Data '!#REF!,"AAAAAF96GTs=")</f>
        <v>#REF!</v>
      </c>
      <c r="BI7" t="e">
        <f>AND('Data '!#REF!,"AAAAAF96GTw=")</f>
        <v>#REF!</v>
      </c>
      <c r="BJ7" t="e">
        <f>AND('Data '!#REF!,"AAAAAF96GT0=")</f>
        <v>#REF!</v>
      </c>
      <c r="BK7" t="e">
        <f>AND('Data '!#REF!,"AAAAAF96GT4=")</f>
        <v>#REF!</v>
      </c>
      <c r="BL7" t="e">
        <f>AND('Data '!#REF!,"AAAAAF96GT8=")</f>
        <v>#REF!</v>
      </c>
      <c r="BM7">
        <f>IF('Data '!33:33,"AAAAAF96GUA=",0)</f>
        <v>0</v>
      </c>
      <c r="BN7" t="e">
        <f>AND('Data '!A33,"AAAAAF96GUE=")</f>
        <v>#VALUE!</v>
      </c>
      <c r="BO7" t="e">
        <f>AND('Data '!B33,"AAAAAF96GUI=")</f>
        <v>#VALUE!</v>
      </c>
      <c r="BP7" t="e">
        <f>AND('Data '!C33,"AAAAAF96GUM=")</f>
        <v>#VALUE!</v>
      </c>
      <c r="BQ7" t="e">
        <f>AND('Data '!D33,"AAAAAF96GUQ=")</f>
        <v>#VALUE!</v>
      </c>
      <c r="BR7" t="e">
        <f>AND('Data '!E33,"AAAAAF96GUU=")</f>
        <v>#VALUE!</v>
      </c>
      <c r="BS7" t="e">
        <f>AND('Data '!F33,"AAAAAF96GUY=")</f>
        <v>#VALUE!</v>
      </c>
      <c r="BT7" t="e">
        <f>AND('Data '!G33,"AAAAAF96GUc=")</f>
        <v>#VALUE!</v>
      </c>
      <c r="BU7" t="e">
        <f>AND('Data '!H33,"AAAAAF96GUg=")</f>
        <v>#VALUE!</v>
      </c>
      <c r="BV7" t="e">
        <f>AND('Data '!I33,"AAAAAF96GUk=")</f>
        <v>#VALUE!</v>
      </c>
      <c r="BW7" t="e">
        <f>AND('Data '!J33,"AAAAAF96GUo=")</f>
        <v>#VALUE!</v>
      </c>
      <c r="BX7" t="e">
        <f>AND('Data '!K33,"AAAAAF96GUs=")</f>
        <v>#VALUE!</v>
      </c>
      <c r="BY7" t="e">
        <f>AND('Data '!L33,"AAAAAF96GUw=")</f>
        <v>#VALUE!</v>
      </c>
      <c r="BZ7" t="e">
        <f>AND('Data '!M33,"AAAAAF96GU0=")</f>
        <v>#VALUE!</v>
      </c>
      <c r="CA7" t="e">
        <f>AND('Data '!N33,"AAAAAF96GU4=")</f>
        <v>#VALUE!</v>
      </c>
      <c r="CB7" t="e">
        <f>AND('Data '!O33,"AAAAAF96GU8=")</f>
        <v>#VALUE!</v>
      </c>
      <c r="CC7" t="e">
        <f>AND('Data '!P33,"AAAAAF96GVA=")</f>
        <v>#VALUE!</v>
      </c>
      <c r="CD7" t="e">
        <f>AND('Data '!Q33,"AAAAAF96GVE=")</f>
        <v>#VALUE!</v>
      </c>
      <c r="CE7" t="e">
        <f>AND('Data '!R33,"AAAAAF96GVI=")</f>
        <v>#VALUE!</v>
      </c>
      <c r="CF7" t="e">
        <f>AND('Data '!S33,"AAAAAF96GVM=")</f>
        <v>#VALUE!</v>
      </c>
      <c r="CG7" t="e">
        <f>AND('Data '!T33,"AAAAAF96GVQ=")</f>
        <v>#VALUE!</v>
      </c>
      <c r="CH7" t="e">
        <f>AND('Data '!U33,"AAAAAF96GVU=")</f>
        <v>#VALUE!</v>
      </c>
      <c r="CI7" t="e">
        <f>AND('Data '!V33,"AAAAAF96GVY=")</f>
        <v>#VALUE!</v>
      </c>
      <c r="CJ7" t="e">
        <f>AND('Data '!W33,"AAAAAF96GVc=")</f>
        <v>#VALUE!</v>
      </c>
      <c r="CK7" t="e">
        <f>AND('Data '!X33,"AAAAAF96GVg=")</f>
        <v>#VALUE!</v>
      </c>
      <c r="CL7" t="e">
        <f>AND('Data '!Y33,"AAAAAF96GVk=")</f>
        <v>#VALUE!</v>
      </c>
      <c r="CM7" t="e">
        <f>AND('Data '!Z33,"AAAAAF96GVo=")</f>
        <v>#VALUE!</v>
      </c>
      <c r="CN7" t="e">
        <f>AND('Data '!AA33,"AAAAAF96GVs=")</f>
        <v>#VALUE!</v>
      </c>
      <c r="CO7" t="e">
        <f>AND('Data '!AB33,"AAAAAF96GVw=")</f>
        <v>#VALUE!</v>
      </c>
      <c r="CP7" t="e">
        <f>AND('Data '!AC33,"AAAAAF96GV0=")</f>
        <v>#VALUE!</v>
      </c>
      <c r="CQ7" t="e">
        <f>AND('Data '!#REF!,"AAAAAF96GV4=")</f>
        <v>#REF!</v>
      </c>
      <c r="CR7" t="e">
        <f>AND('Data '!#REF!,"AAAAAF96GV8=")</f>
        <v>#REF!</v>
      </c>
      <c r="CS7" t="e">
        <f>AND('Data '!#REF!,"AAAAAF96GWA=")</f>
        <v>#REF!</v>
      </c>
      <c r="CT7" t="e">
        <f>AND('Data '!#REF!,"AAAAAF96GWE=")</f>
        <v>#REF!</v>
      </c>
      <c r="CU7" t="e">
        <f>AND('Data '!#REF!,"AAAAAF96GWI=")</f>
        <v>#REF!</v>
      </c>
      <c r="CV7" t="e">
        <f>AND('Data '!#REF!,"AAAAAF96GWM=")</f>
        <v>#REF!</v>
      </c>
      <c r="CW7" t="e">
        <f>AND('Data '!#REF!,"AAAAAF96GWQ=")</f>
        <v>#REF!</v>
      </c>
      <c r="CX7" t="e">
        <f>AND('Data '!#REF!,"AAAAAF96GWU=")</f>
        <v>#REF!</v>
      </c>
      <c r="CY7" t="e">
        <f>AND('Data '!#REF!,"AAAAAF96GWY=")</f>
        <v>#REF!</v>
      </c>
      <c r="CZ7" t="e">
        <f>AND('Data '!#REF!,"AAAAAF96GWc=")</f>
        <v>#REF!</v>
      </c>
      <c r="DA7">
        <f>IF('Data '!34:34,"AAAAAF96GWg=",0)</f>
        <v>0</v>
      </c>
      <c r="DB7" t="e">
        <f>AND('Data '!A34,"AAAAAF96GWk=")</f>
        <v>#VALUE!</v>
      </c>
      <c r="DC7" t="e">
        <f>AND('Data '!B34,"AAAAAF96GWo=")</f>
        <v>#VALUE!</v>
      </c>
      <c r="DD7" t="e">
        <f>AND('Data '!C34,"AAAAAF96GWs=")</f>
        <v>#VALUE!</v>
      </c>
      <c r="DE7" t="e">
        <f>AND('Data '!D34,"AAAAAF96GWw=")</f>
        <v>#VALUE!</v>
      </c>
      <c r="DF7" t="e">
        <f>AND('Data '!E34,"AAAAAF96GW0=")</f>
        <v>#VALUE!</v>
      </c>
      <c r="DG7" t="e">
        <f>AND('Data '!F34,"AAAAAF96GW4=")</f>
        <v>#VALUE!</v>
      </c>
      <c r="DH7" t="e">
        <f>AND('Data '!G34,"AAAAAF96GW8=")</f>
        <v>#VALUE!</v>
      </c>
      <c r="DI7" t="e">
        <f>AND('Data '!H34,"AAAAAF96GXA=")</f>
        <v>#VALUE!</v>
      </c>
      <c r="DJ7" t="e">
        <f>AND('Data '!I34,"AAAAAF96GXE=")</f>
        <v>#VALUE!</v>
      </c>
      <c r="DK7" t="e">
        <f>AND('Data '!J34,"AAAAAF96GXI=")</f>
        <v>#VALUE!</v>
      </c>
      <c r="DL7" t="e">
        <f>AND('Data '!K34,"AAAAAF96GXM=")</f>
        <v>#VALUE!</v>
      </c>
      <c r="DM7" t="e">
        <f>AND('Data '!L34,"AAAAAF96GXQ=")</f>
        <v>#VALUE!</v>
      </c>
      <c r="DN7" t="e">
        <f>AND('Data '!M34,"AAAAAF96GXU=")</f>
        <v>#VALUE!</v>
      </c>
      <c r="DO7" t="e">
        <f>AND('Data '!N34,"AAAAAF96GXY=")</f>
        <v>#VALUE!</v>
      </c>
      <c r="DP7" t="e">
        <f>AND('Data '!O34,"AAAAAF96GXc=")</f>
        <v>#VALUE!</v>
      </c>
      <c r="DQ7" t="e">
        <f>AND('Data '!P34,"AAAAAF96GXg=")</f>
        <v>#VALUE!</v>
      </c>
      <c r="DR7" t="e">
        <f>AND('Data '!#REF!,"AAAAAF96GXk=")</f>
        <v>#REF!</v>
      </c>
      <c r="DS7" t="e">
        <f>AND('Data '!Q34,"AAAAAF96GXo=")</f>
        <v>#VALUE!</v>
      </c>
      <c r="DT7" t="e">
        <f>AND('Data '!S34,"AAAAAF96GXs=")</f>
        <v>#VALUE!</v>
      </c>
      <c r="DU7" t="e">
        <f>AND('Data '!T34,"AAAAAF96GXw=")</f>
        <v>#VALUE!</v>
      </c>
      <c r="DV7" t="e">
        <f>AND('Data '!U34,"AAAAAF96GX0=")</f>
        <v>#VALUE!</v>
      </c>
      <c r="DW7" t="e">
        <f>AND('Data '!V34,"AAAAAF96GX4=")</f>
        <v>#VALUE!</v>
      </c>
      <c r="DX7" t="e">
        <f>AND('Data '!W34,"AAAAAF96GX8=")</f>
        <v>#VALUE!</v>
      </c>
      <c r="DY7" t="e">
        <f>AND('Data '!X34,"AAAAAF96GYA=")</f>
        <v>#VALUE!</v>
      </c>
      <c r="DZ7" t="e">
        <f>AND('Data '!Y34,"AAAAAF96GYE=")</f>
        <v>#VALUE!</v>
      </c>
      <c r="EA7" t="e">
        <f>AND('Data '!Z34,"AAAAAF96GYI=")</f>
        <v>#VALUE!</v>
      </c>
      <c r="EB7" t="e">
        <f>AND('Data '!AA34,"AAAAAF96GYM=")</f>
        <v>#VALUE!</v>
      </c>
      <c r="EC7" t="e">
        <f>AND('Data '!AB34,"AAAAAF96GYQ=")</f>
        <v>#VALUE!</v>
      </c>
      <c r="ED7" t="e">
        <f>AND('Data '!AC34,"AAAAAF96GYU=")</f>
        <v>#VALUE!</v>
      </c>
      <c r="EE7" t="e">
        <f>AND('Data '!#REF!,"AAAAAF96GYY=")</f>
        <v>#REF!</v>
      </c>
      <c r="EF7" t="e">
        <f>AND('Data '!#REF!,"AAAAAF96GYc=")</f>
        <v>#REF!</v>
      </c>
      <c r="EG7" t="e">
        <f>AND('Data '!#REF!,"AAAAAF96GYg=")</f>
        <v>#REF!</v>
      </c>
      <c r="EH7" t="e">
        <f>AND('Data '!#REF!,"AAAAAF96GYk=")</f>
        <v>#REF!</v>
      </c>
      <c r="EI7" t="e">
        <f>AND('Data '!#REF!,"AAAAAF96GYo=")</f>
        <v>#REF!</v>
      </c>
      <c r="EJ7" t="e">
        <f>AND('Data '!#REF!,"AAAAAF96GYs=")</f>
        <v>#REF!</v>
      </c>
      <c r="EK7" t="e">
        <f>AND('Data '!#REF!,"AAAAAF96GYw=")</f>
        <v>#REF!</v>
      </c>
      <c r="EL7" t="e">
        <f>AND('Data '!#REF!,"AAAAAF96GY0=")</f>
        <v>#REF!</v>
      </c>
      <c r="EM7" t="e">
        <f>AND('Data '!#REF!,"AAAAAF96GY4=")</f>
        <v>#REF!</v>
      </c>
      <c r="EN7" t="e">
        <f>AND('Data '!#REF!,"AAAAAF96GY8=")</f>
        <v>#REF!</v>
      </c>
      <c r="EO7">
        <f>IF('Data '!35:35,"AAAAAF96GZA=",0)</f>
        <v>0</v>
      </c>
      <c r="EP7" t="e">
        <f>AND('Data '!A35,"AAAAAF96GZE=")</f>
        <v>#VALUE!</v>
      </c>
      <c r="EQ7" t="e">
        <f>AND('Data '!B35,"AAAAAF96GZI=")</f>
        <v>#VALUE!</v>
      </c>
      <c r="ER7" t="e">
        <f>AND('Data '!C35,"AAAAAF96GZM=")</f>
        <v>#VALUE!</v>
      </c>
      <c r="ES7" t="e">
        <f>AND('Data '!D35,"AAAAAF96GZQ=")</f>
        <v>#VALUE!</v>
      </c>
      <c r="ET7" t="e">
        <f>AND('Data '!E35,"AAAAAF96GZU=")</f>
        <v>#VALUE!</v>
      </c>
      <c r="EU7" t="e">
        <f>AND('Data '!F35,"AAAAAF96GZY=")</f>
        <v>#VALUE!</v>
      </c>
      <c r="EV7" t="e">
        <f>AND('Data '!G35,"AAAAAF96GZc=")</f>
        <v>#VALUE!</v>
      </c>
      <c r="EW7" t="e">
        <f>AND('Data '!H35,"AAAAAF96GZg=")</f>
        <v>#VALUE!</v>
      </c>
      <c r="EX7" t="e">
        <f>AND('Data '!I35,"AAAAAF96GZk=")</f>
        <v>#VALUE!</v>
      </c>
      <c r="EY7" t="e">
        <f>AND('Data '!J35,"AAAAAF96GZo=")</f>
        <v>#VALUE!</v>
      </c>
      <c r="EZ7" t="e">
        <f>AND('Data '!K35,"AAAAAF96GZs=")</f>
        <v>#VALUE!</v>
      </c>
      <c r="FA7" t="e">
        <f>AND('Data '!L35,"AAAAAF96GZw=")</f>
        <v>#VALUE!</v>
      </c>
      <c r="FB7" t="e">
        <f>AND('Data '!M35,"AAAAAF96GZ0=")</f>
        <v>#VALUE!</v>
      </c>
      <c r="FC7" t="e">
        <f>AND('Data '!N35,"AAAAAF96GZ4=")</f>
        <v>#VALUE!</v>
      </c>
      <c r="FD7" t="e">
        <f>AND('Data '!O35,"AAAAAF96GZ8=")</f>
        <v>#VALUE!</v>
      </c>
      <c r="FE7" t="e">
        <f>AND('Data '!P35,"AAAAAF96GaA=")</f>
        <v>#VALUE!</v>
      </c>
      <c r="FF7" t="e">
        <f>AND('Data '!Q35,"AAAAAF96GaE=")</f>
        <v>#VALUE!</v>
      </c>
      <c r="FG7" t="e">
        <f>AND('Data '!R35,"AAAAAF96GaI=")</f>
        <v>#VALUE!</v>
      </c>
      <c r="FH7" t="e">
        <f>AND('Data '!S35,"AAAAAF96GaM=")</f>
        <v>#VALUE!</v>
      </c>
      <c r="FI7" t="e">
        <f>AND('Data '!T35,"AAAAAF96GaQ=")</f>
        <v>#VALUE!</v>
      </c>
      <c r="FJ7" t="e">
        <f>AND('Data '!U35,"AAAAAF96GaU=")</f>
        <v>#VALUE!</v>
      </c>
      <c r="FK7" t="e">
        <f>AND('Data '!V35,"AAAAAF96GaY=")</f>
        <v>#VALUE!</v>
      </c>
      <c r="FL7" t="e">
        <f>AND('Data '!W35,"AAAAAF96Gac=")</f>
        <v>#VALUE!</v>
      </c>
      <c r="FM7" t="e">
        <f>AND('Data '!X35,"AAAAAF96Gag=")</f>
        <v>#VALUE!</v>
      </c>
      <c r="FN7" t="e">
        <f>AND('Data '!Y35,"AAAAAF96Gak=")</f>
        <v>#VALUE!</v>
      </c>
      <c r="FO7" t="e">
        <f>AND('Data '!Z35,"AAAAAF96Gao=")</f>
        <v>#VALUE!</v>
      </c>
      <c r="FP7" t="e">
        <f>AND('Data '!AA35,"AAAAAF96Gas=")</f>
        <v>#VALUE!</v>
      </c>
      <c r="FQ7" t="e">
        <f>AND('Data '!AB35,"AAAAAF96Gaw=")</f>
        <v>#VALUE!</v>
      </c>
      <c r="FR7" t="e">
        <f>AND('Data '!AC35,"AAAAAF96Ga0=")</f>
        <v>#VALUE!</v>
      </c>
      <c r="FS7" t="e">
        <f>AND('Data '!#REF!,"AAAAAF96Ga4=")</f>
        <v>#REF!</v>
      </c>
      <c r="FT7" t="e">
        <f>AND('Data '!#REF!,"AAAAAF96Ga8=")</f>
        <v>#REF!</v>
      </c>
      <c r="FU7" t="e">
        <f>AND('Data '!#REF!,"AAAAAF96GbA=")</f>
        <v>#REF!</v>
      </c>
      <c r="FV7" t="e">
        <f>AND('Data '!#REF!,"AAAAAF96GbE=")</f>
        <v>#REF!</v>
      </c>
      <c r="FW7" t="e">
        <f>AND('Data '!#REF!,"AAAAAF96GbI=")</f>
        <v>#REF!</v>
      </c>
      <c r="FX7" t="e">
        <f>AND('Data '!#REF!,"AAAAAF96GbM=")</f>
        <v>#REF!</v>
      </c>
      <c r="FY7" t="e">
        <f>AND('Data '!#REF!,"AAAAAF96GbQ=")</f>
        <v>#REF!</v>
      </c>
      <c r="FZ7" t="e">
        <f>AND('Data '!#REF!,"AAAAAF96GbU=")</f>
        <v>#REF!</v>
      </c>
      <c r="GA7" t="e">
        <f>AND('Data '!#REF!,"AAAAAF96GbY=")</f>
        <v>#REF!</v>
      </c>
      <c r="GB7" t="e">
        <f>AND('Data '!#REF!,"AAAAAF96Gbc=")</f>
        <v>#REF!</v>
      </c>
      <c r="GC7">
        <f>IF('Data '!36:36,"AAAAAF96Gbg=",0)</f>
        <v>0</v>
      </c>
      <c r="GD7" t="e">
        <f>AND('Data '!A36,"AAAAAF96Gbk=")</f>
        <v>#VALUE!</v>
      </c>
      <c r="GE7" t="e">
        <f>AND('Data '!B36,"AAAAAF96Gbo=")</f>
        <v>#VALUE!</v>
      </c>
      <c r="GF7" t="e">
        <f>AND('Data '!C36,"AAAAAF96Gbs=")</f>
        <v>#VALUE!</v>
      </c>
      <c r="GG7" t="e">
        <f>AND('Data '!D36,"AAAAAF96Gbw=")</f>
        <v>#VALUE!</v>
      </c>
      <c r="GH7" t="e">
        <f>AND('Data '!E36,"AAAAAF96Gb0=")</f>
        <v>#VALUE!</v>
      </c>
      <c r="GI7" t="e">
        <f>AND('Data '!F36,"AAAAAF96Gb4=")</f>
        <v>#VALUE!</v>
      </c>
      <c r="GJ7" t="e">
        <f>AND('Data '!G36,"AAAAAF96Gb8=")</f>
        <v>#VALUE!</v>
      </c>
      <c r="GK7" t="e">
        <f>AND('Data '!H36,"AAAAAF96GcA=")</f>
        <v>#VALUE!</v>
      </c>
      <c r="GL7" t="e">
        <f>AND('Data '!I36,"AAAAAF96GcE=")</f>
        <v>#VALUE!</v>
      </c>
      <c r="GM7" t="e">
        <f>AND('Data '!J36,"AAAAAF96GcI=")</f>
        <v>#VALUE!</v>
      </c>
      <c r="GN7" t="e">
        <f>AND('Data '!K36,"AAAAAF96GcM=")</f>
        <v>#VALUE!</v>
      </c>
      <c r="GO7" t="e">
        <f>AND('Data '!L36,"AAAAAF96GcQ=")</f>
        <v>#VALUE!</v>
      </c>
      <c r="GP7" t="e">
        <f>AND('Data '!M36,"AAAAAF96GcU=")</f>
        <v>#VALUE!</v>
      </c>
      <c r="GQ7" t="e">
        <f>AND('Data '!N36,"AAAAAF96GcY=")</f>
        <v>#VALUE!</v>
      </c>
      <c r="GR7" t="e">
        <f>AND('Data '!O36,"AAAAAF96Gcc=")</f>
        <v>#VALUE!</v>
      </c>
      <c r="GS7" t="e">
        <f>AND('Data '!P36,"AAAAAF96Gcg=")</f>
        <v>#VALUE!</v>
      </c>
      <c r="GT7" t="e">
        <f>AND('Data '!Q36,"AAAAAF96Gck=")</f>
        <v>#VALUE!</v>
      </c>
      <c r="GU7" t="e">
        <f>AND('Data '!R36,"AAAAAF96Gco=")</f>
        <v>#VALUE!</v>
      </c>
      <c r="GV7" t="e">
        <f>AND('Data '!S36,"AAAAAF96Gcs=")</f>
        <v>#VALUE!</v>
      </c>
      <c r="GW7" t="e">
        <f>AND('Data '!T36,"AAAAAF96Gcw=")</f>
        <v>#VALUE!</v>
      </c>
      <c r="GX7" t="e">
        <f>AND('Data '!U36,"AAAAAF96Gc0=")</f>
        <v>#VALUE!</v>
      </c>
      <c r="GY7" t="e">
        <f>AND('Data '!V36,"AAAAAF96Gc4=")</f>
        <v>#VALUE!</v>
      </c>
      <c r="GZ7" t="e">
        <f>AND('Data '!W36,"AAAAAF96Gc8=")</f>
        <v>#VALUE!</v>
      </c>
      <c r="HA7" t="e">
        <f>AND('Data '!X36,"AAAAAF96GdA=")</f>
        <v>#VALUE!</v>
      </c>
      <c r="HB7" t="e">
        <f>AND('Data '!Y36,"AAAAAF96GdE=")</f>
        <v>#VALUE!</v>
      </c>
      <c r="HC7" t="e">
        <f>AND('Data '!Z36,"AAAAAF96GdI=")</f>
        <v>#VALUE!</v>
      </c>
      <c r="HD7" t="e">
        <f>AND('Data '!AA36,"AAAAAF96GdM=")</f>
        <v>#VALUE!</v>
      </c>
      <c r="HE7" t="e">
        <f>AND('Data '!AB36,"AAAAAF96GdQ=")</f>
        <v>#VALUE!</v>
      </c>
      <c r="HF7" t="e">
        <f>AND('Data '!AC36,"AAAAAF96GdU=")</f>
        <v>#VALUE!</v>
      </c>
      <c r="HG7" t="e">
        <f>AND('Data '!#REF!,"AAAAAF96GdY=")</f>
        <v>#REF!</v>
      </c>
      <c r="HH7" t="e">
        <f>AND('Data '!#REF!,"AAAAAF96Gdc=")</f>
        <v>#REF!</v>
      </c>
      <c r="HI7" t="e">
        <f>AND('Data '!#REF!,"AAAAAF96Gdg=")</f>
        <v>#REF!</v>
      </c>
      <c r="HJ7" t="e">
        <f>AND('Data '!#REF!,"AAAAAF96Gdk=")</f>
        <v>#REF!</v>
      </c>
      <c r="HK7" t="e">
        <f>AND('Data '!#REF!,"AAAAAF96Gdo=")</f>
        <v>#REF!</v>
      </c>
      <c r="HL7" t="e">
        <f>AND('Data '!#REF!,"AAAAAF96Gds=")</f>
        <v>#REF!</v>
      </c>
      <c r="HM7" t="e">
        <f>AND('Data '!#REF!,"AAAAAF96Gdw=")</f>
        <v>#REF!</v>
      </c>
      <c r="HN7" t="e">
        <f>AND('Data '!#REF!,"AAAAAF96Gd0=")</f>
        <v>#REF!</v>
      </c>
      <c r="HO7" t="e">
        <f>AND('Data '!#REF!,"AAAAAF96Gd4=")</f>
        <v>#REF!</v>
      </c>
      <c r="HP7" t="e">
        <f>AND('Data '!#REF!,"AAAAAF96Gd8=")</f>
        <v>#REF!</v>
      </c>
      <c r="HQ7">
        <f>IF('Data '!37:37,"AAAAAF96GeA=",0)</f>
        <v>0</v>
      </c>
      <c r="HR7" t="e">
        <f>AND('Data '!A37,"AAAAAF96GeE=")</f>
        <v>#VALUE!</v>
      </c>
      <c r="HS7" t="e">
        <f>AND('Data '!B37,"AAAAAF96GeI=")</f>
        <v>#VALUE!</v>
      </c>
      <c r="HT7" t="e">
        <f>AND('Data '!C37,"AAAAAF96GeM=")</f>
        <v>#VALUE!</v>
      </c>
      <c r="HU7" t="e">
        <f>AND('Data '!D37,"AAAAAF96GeQ=")</f>
        <v>#VALUE!</v>
      </c>
      <c r="HV7" t="e">
        <f>AND('Data '!E37,"AAAAAF96GeU=")</f>
        <v>#VALUE!</v>
      </c>
      <c r="HW7" t="e">
        <f>AND('Data '!F37,"AAAAAF96GeY=")</f>
        <v>#VALUE!</v>
      </c>
      <c r="HX7" t="e">
        <f>AND('Data '!G37,"AAAAAF96Gec=")</f>
        <v>#VALUE!</v>
      </c>
      <c r="HY7" t="e">
        <f>AND('Data '!H37,"AAAAAF96Geg=")</f>
        <v>#VALUE!</v>
      </c>
      <c r="HZ7" t="e">
        <f>AND('Data '!I37,"AAAAAF96Gek=")</f>
        <v>#VALUE!</v>
      </c>
      <c r="IA7" t="e">
        <f>AND('Data '!J37,"AAAAAF96Geo=")</f>
        <v>#VALUE!</v>
      </c>
      <c r="IB7" t="e">
        <f>AND('Data '!K37,"AAAAAF96Ges=")</f>
        <v>#VALUE!</v>
      </c>
      <c r="IC7" t="e">
        <f>AND('Data '!L37,"AAAAAF96Gew=")</f>
        <v>#VALUE!</v>
      </c>
      <c r="ID7" t="e">
        <f>AND('Data '!M37,"AAAAAF96Ge0=")</f>
        <v>#VALUE!</v>
      </c>
      <c r="IE7" t="e">
        <f>AND('Data '!N37,"AAAAAF96Ge4=")</f>
        <v>#VALUE!</v>
      </c>
      <c r="IF7" t="e">
        <f>AND('Data '!O37,"AAAAAF96Ge8=")</f>
        <v>#VALUE!</v>
      </c>
      <c r="IG7" t="e">
        <f>AND('Data '!P37,"AAAAAF96GfA=")</f>
        <v>#VALUE!</v>
      </c>
      <c r="IH7" t="e">
        <f>AND('Data '!Q37,"AAAAAF96GfE=")</f>
        <v>#VALUE!</v>
      </c>
      <c r="II7" t="e">
        <f>AND('Data '!R37,"AAAAAF96GfI=")</f>
        <v>#VALUE!</v>
      </c>
      <c r="IJ7" t="e">
        <f>AND('Data '!S37,"AAAAAF96GfM=")</f>
        <v>#VALUE!</v>
      </c>
      <c r="IK7" t="e">
        <f>AND('Data '!T37,"AAAAAF96GfQ=")</f>
        <v>#VALUE!</v>
      </c>
      <c r="IL7" t="e">
        <f>AND('Data '!U37,"AAAAAF96GfU=")</f>
        <v>#VALUE!</v>
      </c>
      <c r="IM7" t="e">
        <f>AND('Data '!V37,"AAAAAF96GfY=")</f>
        <v>#VALUE!</v>
      </c>
      <c r="IN7" t="e">
        <f>AND('Data '!W37,"AAAAAF96Gfc=")</f>
        <v>#VALUE!</v>
      </c>
      <c r="IO7" t="e">
        <f>AND('Data '!X37,"AAAAAF96Gfg=")</f>
        <v>#VALUE!</v>
      </c>
      <c r="IP7" t="e">
        <f>AND('Data '!Y37,"AAAAAF96Gfk=")</f>
        <v>#VALUE!</v>
      </c>
      <c r="IQ7" t="e">
        <f>AND('Data '!Z37,"AAAAAF96Gfo=")</f>
        <v>#VALUE!</v>
      </c>
      <c r="IR7" t="e">
        <f>AND('Data '!AA37,"AAAAAF96Gfs=")</f>
        <v>#VALUE!</v>
      </c>
      <c r="IS7" t="e">
        <f>AND('Data '!AB37,"AAAAAF96Gfw=")</f>
        <v>#VALUE!</v>
      </c>
      <c r="IT7" t="e">
        <f>AND('Data '!AC37,"AAAAAF96Gf0=")</f>
        <v>#VALUE!</v>
      </c>
      <c r="IU7" t="e">
        <f>AND('Data '!#REF!,"AAAAAF96Gf4=")</f>
        <v>#REF!</v>
      </c>
      <c r="IV7" t="e">
        <f>AND('Data '!#REF!,"AAAAAF96Gf8=")</f>
        <v>#REF!</v>
      </c>
    </row>
    <row r="8" spans="1:256" x14ac:dyDescent="0.25">
      <c r="A8" t="e">
        <f>AND('Data '!#REF!,"AAAAADmfpwA=")</f>
        <v>#REF!</v>
      </c>
      <c r="B8" t="e">
        <f>AND('Data '!#REF!,"AAAAADmfpwE=")</f>
        <v>#REF!</v>
      </c>
      <c r="C8" t="e">
        <f>AND('Data '!#REF!,"AAAAADmfpwI=")</f>
        <v>#REF!</v>
      </c>
      <c r="D8" t="e">
        <f>AND('Data '!#REF!,"AAAAADmfpwM=")</f>
        <v>#REF!</v>
      </c>
      <c r="E8" t="e">
        <f>AND('Data '!#REF!,"AAAAADmfpwQ=")</f>
        <v>#REF!</v>
      </c>
      <c r="F8" t="e">
        <f>AND('Data '!#REF!,"AAAAADmfpwU=")</f>
        <v>#REF!</v>
      </c>
      <c r="G8" t="e">
        <f>AND('Data '!#REF!,"AAAAADmfpwY=")</f>
        <v>#REF!</v>
      </c>
      <c r="H8" t="e">
        <f>AND('Data '!#REF!,"AAAAADmfpwc=")</f>
        <v>#REF!</v>
      </c>
      <c r="I8" t="str">
        <f>IF('Data '!38:38,"AAAAADmfpwg=",0)</f>
        <v>AAAAADmfpwg=</v>
      </c>
      <c r="J8" t="e">
        <f>AND('Data '!A38,"AAAAADmfpwk=")</f>
        <v>#VALUE!</v>
      </c>
      <c r="K8" t="e">
        <f>AND('Data '!B38,"AAAAADmfpwo=")</f>
        <v>#VALUE!</v>
      </c>
      <c r="L8" t="e">
        <f>AND('Data '!C38,"AAAAADmfpws=")</f>
        <v>#VALUE!</v>
      </c>
      <c r="M8" t="e">
        <f>AND('Data '!D38,"AAAAADmfpww=")</f>
        <v>#VALUE!</v>
      </c>
      <c r="N8" t="e">
        <f>AND('Data '!E38,"AAAAADmfpw0=")</f>
        <v>#VALUE!</v>
      </c>
      <c r="O8" t="e">
        <f>AND('Data '!F38,"AAAAADmfpw4=")</f>
        <v>#VALUE!</v>
      </c>
      <c r="P8" t="e">
        <f>AND('Data '!G38,"AAAAADmfpw8=")</f>
        <v>#VALUE!</v>
      </c>
      <c r="Q8" t="e">
        <f>AND('Data '!H38,"AAAAADmfpxA=")</f>
        <v>#VALUE!</v>
      </c>
      <c r="R8" t="e">
        <f>AND('Data '!I38,"AAAAADmfpxE=")</f>
        <v>#VALUE!</v>
      </c>
      <c r="S8" t="e">
        <f>AND('Data '!J38,"AAAAADmfpxI=")</f>
        <v>#VALUE!</v>
      </c>
      <c r="T8" t="e">
        <f>AND('Data '!K38,"AAAAADmfpxM=")</f>
        <v>#VALUE!</v>
      </c>
      <c r="U8" t="e">
        <f>AND('Data '!L38,"AAAAADmfpxQ=")</f>
        <v>#VALUE!</v>
      </c>
      <c r="V8" t="e">
        <f>AND('Data '!M38,"AAAAADmfpxU=")</f>
        <v>#VALUE!</v>
      </c>
      <c r="W8" t="e">
        <f>AND('Data '!N38,"AAAAADmfpxY=")</f>
        <v>#VALUE!</v>
      </c>
      <c r="X8" t="e">
        <f>AND('Data '!O38,"AAAAADmfpxc=")</f>
        <v>#VALUE!</v>
      </c>
      <c r="Y8" t="e">
        <f>AND('Data '!P38,"AAAAADmfpxg=")</f>
        <v>#VALUE!</v>
      </c>
      <c r="Z8" t="e">
        <f>AND('Data '!Q38,"AAAAADmfpxk=")</f>
        <v>#VALUE!</v>
      </c>
      <c r="AA8" t="e">
        <f>AND('Data '!R38,"AAAAADmfpxo=")</f>
        <v>#VALUE!</v>
      </c>
      <c r="AB8" t="e">
        <f>AND('Data '!S38,"AAAAADmfpxs=")</f>
        <v>#VALUE!</v>
      </c>
      <c r="AC8" t="e">
        <f>AND('Data '!T38,"AAAAADmfpxw=")</f>
        <v>#VALUE!</v>
      </c>
      <c r="AD8" t="e">
        <f>AND('Data '!U38,"AAAAADmfpx0=")</f>
        <v>#VALUE!</v>
      </c>
      <c r="AE8" t="e">
        <f>AND('Data '!V38,"AAAAADmfpx4=")</f>
        <v>#VALUE!</v>
      </c>
      <c r="AF8" t="e">
        <f>AND('Data '!W38,"AAAAADmfpx8=")</f>
        <v>#VALUE!</v>
      </c>
      <c r="AG8" t="e">
        <f>AND('Data '!X38,"AAAAADmfpyA=")</f>
        <v>#VALUE!</v>
      </c>
      <c r="AH8" t="e">
        <f>AND('Data '!Y38,"AAAAADmfpyE=")</f>
        <v>#VALUE!</v>
      </c>
      <c r="AI8" t="e">
        <f>AND('Data '!Z38,"AAAAADmfpyI=")</f>
        <v>#VALUE!</v>
      </c>
      <c r="AJ8" t="e">
        <f>AND('Data '!AA38,"AAAAADmfpyM=")</f>
        <v>#VALUE!</v>
      </c>
      <c r="AK8" t="e">
        <f>AND('Data '!AB38,"AAAAADmfpyQ=")</f>
        <v>#VALUE!</v>
      </c>
      <c r="AL8" t="e">
        <f>AND('Data '!AC38,"AAAAADmfpyU=")</f>
        <v>#VALUE!</v>
      </c>
      <c r="AM8" t="e">
        <f>AND('Data '!#REF!,"AAAAADmfpyY=")</f>
        <v>#REF!</v>
      </c>
      <c r="AN8" t="e">
        <f>AND('Data '!#REF!,"AAAAADmfpyc=")</f>
        <v>#REF!</v>
      </c>
      <c r="AO8" t="e">
        <f>AND('Data '!#REF!,"AAAAADmfpyg=")</f>
        <v>#REF!</v>
      </c>
      <c r="AP8" t="e">
        <f>AND('Data '!#REF!,"AAAAADmfpyk=")</f>
        <v>#REF!</v>
      </c>
      <c r="AQ8" t="e">
        <f>AND('Data '!#REF!,"AAAAADmfpyo=")</f>
        <v>#REF!</v>
      </c>
      <c r="AR8" t="e">
        <f>AND('Data '!#REF!,"AAAAADmfpys=")</f>
        <v>#REF!</v>
      </c>
      <c r="AS8" t="e">
        <f>AND('Data '!#REF!,"AAAAADmfpyw=")</f>
        <v>#REF!</v>
      </c>
      <c r="AT8" t="e">
        <f>AND('Data '!#REF!,"AAAAADmfpy0=")</f>
        <v>#REF!</v>
      </c>
      <c r="AU8" t="e">
        <f>AND('Data '!#REF!,"AAAAADmfpy4=")</f>
        <v>#REF!</v>
      </c>
      <c r="AV8" t="e">
        <f>AND('Data '!#REF!,"AAAAADmfpy8=")</f>
        <v>#REF!</v>
      </c>
      <c r="AW8">
        <f>IF('Data '!39:39,"AAAAADmfpzA=",0)</f>
        <v>0</v>
      </c>
      <c r="AX8" t="e">
        <f>AND('Data '!A39,"AAAAADmfpzE=")</f>
        <v>#VALUE!</v>
      </c>
      <c r="AY8" t="e">
        <f>AND('Data '!B39,"AAAAADmfpzI=")</f>
        <v>#VALUE!</v>
      </c>
      <c r="AZ8" t="e">
        <f>AND('Data '!C39,"AAAAADmfpzM=")</f>
        <v>#VALUE!</v>
      </c>
      <c r="BA8" t="e">
        <f>AND('Data '!D39,"AAAAADmfpzQ=")</f>
        <v>#VALUE!</v>
      </c>
      <c r="BB8" t="e">
        <f>AND('Data '!E39,"AAAAADmfpzU=")</f>
        <v>#VALUE!</v>
      </c>
      <c r="BC8" t="e">
        <f>AND('Data '!F39,"AAAAADmfpzY=")</f>
        <v>#VALUE!</v>
      </c>
      <c r="BD8" t="e">
        <f>AND('Data '!G39,"AAAAADmfpzc=")</f>
        <v>#VALUE!</v>
      </c>
      <c r="BE8" t="e">
        <f>AND('Data '!H39,"AAAAADmfpzg=")</f>
        <v>#VALUE!</v>
      </c>
      <c r="BF8" t="e">
        <f>AND('Data '!I39,"AAAAADmfpzk=")</f>
        <v>#VALUE!</v>
      </c>
      <c r="BG8" t="e">
        <f>AND('Data '!J39,"AAAAADmfpzo=")</f>
        <v>#VALUE!</v>
      </c>
      <c r="BH8" t="e">
        <f>AND('Data '!K39,"AAAAADmfpzs=")</f>
        <v>#VALUE!</v>
      </c>
      <c r="BI8" t="e">
        <f>AND('Data '!L39,"AAAAADmfpzw=")</f>
        <v>#VALUE!</v>
      </c>
      <c r="BJ8" t="e">
        <f>AND('Data '!M39,"AAAAADmfpz0=")</f>
        <v>#VALUE!</v>
      </c>
      <c r="BK8" t="e">
        <f>AND('Data '!N39,"AAAAADmfpz4=")</f>
        <v>#VALUE!</v>
      </c>
      <c r="BL8" t="e">
        <f>AND('Data '!O39,"AAAAADmfpz8=")</f>
        <v>#VALUE!</v>
      </c>
      <c r="BM8" t="e">
        <f>AND('Data '!P39,"AAAAADmfp0A=")</f>
        <v>#VALUE!</v>
      </c>
      <c r="BN8" t="e">
        <f>AND('Data '!Q39,"AAAAADmfp0E=")</f>
        <v>#VALUE!</v>
      </c>
      <c r="BO8" t="e">
        <f>AND('Data '!R39,"AAAAADmfp0I=")</f>
        <v>#VALUE!</v>
      </c>
      <c r="BP8" t="e">
        <f>AND('Data '!S39,"AAAAADmfp0M=")</f>
        <v>#VALUE!</v>
      </c>
      <c r="BQ8" t="e">
        <f>AND('Data '!T39,"AAAAADmfp0Q=")</f>
        <v>#VALUE!</v>
      </c>
      <c r="BR8" t="e">
        <f>AND('Data '!U39,"AAAAADmfp0U=")</f>
        <v>#VALUE!</v>
      </c>
      <c r="BS8" t="e">
        <f>AND('Data '!V39,"AAAAADmfp0Y=")</f>
        <v>#VALUE!</v>
      </c>
      <c r="BT8" t="e">
        <f>AND('Data '!W39,"AAAAADmfp0c=")</f>
        <v>#VALUE!</v>
      </c>
      <c r="BU8" t="e">
        <f>AND('Data '!X39,"AAAAADmfp0g=")</f>
        <v>#VALUE!</v>
      </c>
      <c r="BV8" t="e">
        <f>AND('Data '!Y39,"AAAAADmfp0k=")</f>
        <v>#VALUE!</v>
      </c>
      <c r="BW8" t="e">
        <f>AND('Data '!Z39,"AAAAADmfp0o=")</f>
        <v>#VALUE!</v>
      </c>
      <c r="BX8" t="e">
        <f>AND('Data '!AA39,"AAAAADmfp0s=")</f>
        <v>#VALUE!</v>
      </c>
      <c r="BY8" t="e">
        <f>AND('Data '!AB39,"AAAAADmfp0w=")</f>
        <v>#VALUE!</v>
      </c>
      <c r="BZ8" t="e">
        <f>AND('Data '!AC39,"AAAAADmfp00=")</f>
        <v>#VALUE!</v>
      </c>
      <c r="CA8" t="e">
        <f>AND('Data '!#REF!,"AAAAADmfp04=")</f>
        <v>#REF!</v>
      </c>
      <c r="CB8" t="e">
        <f>AND('Data '!#REF!,"AAAAADmfp08=")</f>
        <v>#REF!</v>
      </c>
      <c r="CC8" t="e">
        <f>AND('Data '!#REF!,"AAAAADmfp1A=")</f>
        <v>#REF!</v>
      </c>
      <c r="CD8" t="e">
        <f>AND('Data '!#REF!,"AAAAADmfp1E=")</f>
        <v>#REF!</v>
      </c>
      <c r="CE8" t="e">
        <f>AND('Data '!#REF!,"AAAAADmfp1I=")</f>
        <v>#REF!</v>
      </c>
      <c r="CF8" t="e">
        <f>AND('Data '!#REF!,"AAAAADmfp1M=")</f>
        <v>#REF!</v>
      </c>
      <c r="CG8" t="e">
        <f>AND('Data '!#REF!,"AAAAADmfp1Q=")</f>
        <v>#REF!</v>
      </c>
      <c r="CH8" t="e">
        <f>AND('Data '!#REF!,"AAAAADmfp1U=")</f>
        <v>#REF!</v>
      </c>
      <c r="CI8" t="e">
        <f>AND('Data '!#REF!,"AAAAADmfp1Y=")</f>
        <v>#REF!</v>
      </c>
      <c r="CJ8" t="e">
        <f>AND('Data '!#REF!,"AAAAADmfp1c=")</f>
        <v>#REF!</v>
      </c>
      <c r="CK8">
        <f>IF('Data '!40:40,"AAAAADmfp1g=",0)</f>
        <v>0</v>
      </c>
      <c r="CL8" t="e">
        <f>AND('Data '!A40,"AAAAADmfp1k=")</f>
        <v>#VALUE!</v>
      </c>
      <c r="CM8" t="e">
        <f>AND('Data '!B40,"AAAAADmfp1o=")</f>
        <v>#VALUE!</v>
      </c>
      <c r="CN8" t="e">
        <f>AND('Data '!C40,"AAAAADmfp1s=")</f>
        <v>#VALUE!</v>
      </c>
      <c r="CO8" t="e">
        <f>AND('Data '!D40,"AAAAADmfp1w=")</f>
        <v>#VALUE!</v>
      </c>
      <c r="CP8" t="e">
        <f>AND('Data '!E40,"AAAAADmfp10=")</f>
        <v>#VALUE!</v>
      </c>
      <c r="CQ8" t="e">
        <f>AND('Data '!F40,"AAAAADmfp14=")</f>
        <v>#VALUE!</v>
      </c>
      <c r="CR8" t="e">
        <f>AND('Data '!G40,"AAAAADmfp18=")</f>
        <v>#VALUE!</v>
      </c>
      <c r="CS8" t="e">
        <f>AND('Data '!H40,"AAAAADmfp2A=")</f>
        <v>#VALUE!</v>
      </c>
      <c r="CT8" t="e">
        <f>AND('Data '!I40,"AAAAADmfp2E=")</f>
        <v>#VALUE!</v>
      </c>
      <c r="CU8" t="e">
        <f>AND('Data '!J40,"AAAAADmfp2I=")</f>
        <v>#VALUE!</v>
      </c>
      <c r="CV8" t="e">
        <f>AND('Data '!K40,"AAAAADmfp2M=")</f>
        <v>#VALUE!</v>
      </c>
      <c r="CW8" t="e">
        <f>AND('Data '!L40,"AAAAADmfp2Q=")</f>
        <v>#VALUE!</v>
      </c>
      <c r="CX8" t="e">
        <f>AND('Data '!M40,"AAAAADmfp2U=")</f>
        <v>#VALUE!</v>
      </c>
      <c r="CY8" t="e">
        <f>AND('Data '!N40,"AAAAADmfp2Y=")</f>
        <v>#VALUE!</v>
      </c>
      <c r="CZ8" t="e">
        <f>AND('Data '!O40,"AAAAADmfp2c=")</f>
        <v>#VALUE!</v>
      </c>
      <c r="DA8" t="e">
        <f>AND('Data '!P40,"AAAAADmfp2g=")</f>
        <v>#VALUE!</v>
      </c>
      <c r="DB8" t="e">
        <f>AND('Data '!Q40,"AAAAADmfp2k=")</f>
        <v>#VALUE!</v>
      </c>
      <c r="DC8" t="e">
        <f>AND('Data '!R40,"AAAAADmfp2o=")</f>
        <v>#VALUE!</v>
      </c>
      <c r="DD8" t="e">
        <f>AND('Data '!S40,"AAAAADmfp2s=")</f>
        <v>#VALUE!</v>
      </c>
      <c r="DE8" t="e">
        <f>AND('Data '!T40,"AAAAADmfp2w=")</f>
        <v>#VALUE!</v>
      </c>
      <c r="DF8" t="e">
        <f>AND('Data '!U40,"AAAAADmfp20=")</f>
        <v>#VALUE!</v>
      </c>
      <c r="DG8" t="e">
        <f>AND('Data '!V40,"AAAAADmfp24=")</f>
        <v>#VALUE!</v>
      </c>
      <c r="DH8" t="e">
        <f>AND('Data '!W40,"AAAAADmfp28=")</f>
        <v>#VALUE!</v>
      </c>
      <c r="DI8" t="e">
        <f>AND('Data '!X40,"AAAAADmfp3A=")</f>
        <v>#VALUE!</v>
      </c>
      <c r="DJ8" t="e">
        <f>AND('Data '!Y40,"AAAAADmfp3E=")</f>
        <v>#VALUE!</v>
      </c>
      <c r="DK8" t="e">
        <f>AND('Data '!Z40,"AAAAADmfp3I=")</f>
        <v>#VALUE!</v>
      </c>
      <c r="DL8" t="e">
        <f>AND('Data '!AA40,"AAAAADmfp3M=")</f>
        <v>#VALUE!</v>
      </c>
      <c r="DM8" t="e">
        <f>AND('Data '!AB40,"AAAAADmfp3Q=")</f>
        <v>#VALUE!</v>
      </c>
      <c r="DN8" t="e">
        <f>AND('Data '!AC40,"AAAAADmfp3U=")</f>
        <v>#VALUE!</v>
      </c>
      <c r="DO8" t="e">
        <f>AND('Data '!#REF!,"AAAAADmfp3Y=")</f>
        <v>#REF!</v>
      </c>
      <c r="DP8" t="e">
        <f>AND('Data '!#REF!,"AAAAADmfp3c=")</f>
        <v>#REF!</v>
      </c>
      <c r="DQ8" t="e">
        <f>AND('Data '!#REF!,"AAAAADmfp3g=")</f>
        <v>#REF!</v>
      </c>
      <c r="DR8" t="e">
        <f>AND('Data '!#REF!,"AAAAADmfp3k=")</f>
        <v>#REF!</v>
      </c>
      <c r="DS8" t="e">
        <f>AND('Data '!#REF!,"AAAAADmfp3o=")</f>
        <v>#REF!</v>
      </c>
      <c r="DT8" t="e">
        <f>AND('Data '!#REF!,"AAAAADmfp3s=")</f>
        <v>#REF!</v>
      </c>
      <c r="DU8" t="e">
        <f>AND('Data '!#REF!,"AAAAADmfp3w=")</f>
        <v>#REF!</v>
      </c>
      <c r="DV8" t="e">
        <f>AND('Data '!#REF!,"AAAAADmfp30=")</f>
        <v>#REF!</v>
      </c>
      <c r="DW8" t="e">
        <f>AND('Data '!#REF!,"AAAAADmfp34=")</f>
        <v>#REF!</v>
      </c>
      <c r="DX8" t="e">
        <f>AND('Data '!#REF!,"AAAAADmfp38=")</f>
        <v>#REF!</v>
      </c>
      <c r="DY8">
        <f>IF('Data '!41:41,"AAAAADmfp4A=",0)</f>
        <v>0</v>
      </c>
      <c r="DZ8" t="e">
        <f>AND('Data '!A41,"AAAAADmfp4E=")</f>
        <v>#VALUE!</v>
      </c>
      <c r="EA8" t="e">
        <f>AND('Data '!B41,"AAAAADmfp4I=")</f>
        <v>#VALUE!</v>
      </c>
      <c r="EB8" t="e">
        <f>AND('Data '!C41,"AAAAADmfp4M=")</f>
        <v>#VALUE!</v>
      </c>
      <c r="EC8" t="e">
        <f>AND('Data '!D41,"AAAAADmfp4Q=")</f>
        <v>#VALUE!</v>
      </c>
      <c r="ED8" t="e">
        <f>AND('Data '!E41,"AAAAADmfp4U=")</f>
        <v>#VALUE!</v>
      </c>
      <c r="EE8" t="e">
        <f>AND('Data '!F41,"AAAAADmfp4Y=")</f>
        <v>#VALUE!</v>
      </c>
      <c r="EF8" t="e">
        <f>AND('Data '!G41,"AAAAADmfp4c=")</f>
        <v>#VALUE!</v>
      </c>
      <c r="EG8" t="e">
        <f>AND('Data '!H41,"AAAAADmfp4g=")</f>
        <v>#VALUE!</v>
      </c>
      <c r="EH8" t="e">
        <f>AND('Data '!I41,"AAAAADmfp4k=")</f>
        <v>#VALUE!</v>
      </c>
      <c r="EI8" t="e">
        <f>AND('Data '!J41,"AAAAADmfp4o=")</f>
        <v>#VALUE!</v>
      </c>
      <c r="EJ8" t="e">
        <f>AND('Data '!K41,"AAAAADmfp4s=")</f>
        <v>#VALUE!</v>
      </c>
      <c r="EK8" t="e">
        <f>AND('Data '!L41,"AAAAADmfp4w=")</f>
        <v>#VALUE!</v>
      </c>
      <c r="EL8" t="e">
        <f>AND('Data '!M41,"AAAAADmfp40=")</f>
        <v>#VALUE!</v>
      </c>
      <c r="EM8" t="e">
        <f>AND('Data '!N41,"AAAAADmfp44=")</f>
        <v>#VALUE!</v>
      </c>
      <c r="EN8" t="e">
        <f>AND('Data '!O41,"AAAAADmfp48=")</f>
        <v>#VALUE!</v>
      </c>
      <c r="EO8" t="e">
        <f>AND('Data '!P41,"AAAAADmfp5A=")</f>
        <v>#VALUE!</v>
      </c>
      <c r="EP8" t="e">
        <f>AND('Data '!Q41,"AAAAADmfp5E=")</f>
        <v>#VALUE!</v>
      </c>
      <c r="EQ8" t="e">
        <f>AND('Data '!R41,"AAAAADmfp5I=")</f>
        <v>#VALUE!</v>
      </c>
      <c r="ER8" t="e">
        <f>AND('Data '!S41,"AAAAADmfp5M=")</f>
        <v>#VALUE!</v>
      </c>
      <c r="ES8" t="e">
        <f>AND('Data '!T41,"AAAAADmfp5Q=")</f>
        <v>#VALUE!</v>
      </c>
      <c r="ET8" t="e">
        <f>AND('Data '!U41,"AAAAADmfp5U=")</f>
        <v>#VALUE!</v>
      </c>
      <c r="EU8" t="e">
        <f>AND('Data '!V41,"AAAAADmfp5Y=")</f>
        <v>#VALUE!</v>
      </c>
      <c r="EV8" t="e">
        <f>AND('Data '!W41,"AAAAADmfp5c=")</f>
        <v>#VALUE!</v>
      </c>
      <c r="EW8" t="e">
        <f>AND('Data '!X41,"AAAAADmfp5g=")</f>
        <v>#VALUE!</v>
      </c>
      <c r="EX8" t="e">
        <f>AND('Data '!Y41,"AAAAADmfp5k=")</f>
        <v>#VALUE!</v>
      </c>
      <c r="EY8" t="e">
        <f>AND('Data '!Z41,"AAAAADmfp5o=")</f>
        <v>#VALUE!</v>
      </c>
      <c r="EZ8" t="e">
        <f>AND('Data '!AA41,"AAAAADmfp5s=")</f>
        <v>#VALUE!</v>
      </c>
      <c r="FA8" t="e">
        <f>AND('Data '!AB41,"AAAAADmfp5w=")</f>
        <v>#VALUE!</v>
      </c>
      <c r="FB8" t="e">
        <f>AND('Data '!AC41,"AAAAADmfp50=")</f>
        <v>#VALUE!</v>
      </c>
      <c r="FC8" t="e">
        <f>AND('Data '!#REF!,"AAAAADmfp54=")</f>
        <v>#REF!</v>
      </c>
      <c r="FD8" t="e">
        <f>AND('Data '!#REF!,"AAAAADmfp58=")</f>
        <v>#REF!</v>
      </c>
      <c r="FE8" t="e">
        <f>AND('Data '!#REF!,"AAAAADmfp6A=")</f>
        <v>#REF!</v>
      </c>
      <c r="FF8" t="e">
        <f>AND('Data '!#REF!,"AAAAADmfp6E=")</f>
        <v>#REF!</v>
      </c>
      <c r="FG8" t="e">
        <f>AND('Data '!#REF!,"AAAAADmfp6I=")</f>
        <v>#REF!</v>
      </c>
      <c r="FH8" t="e">
        <f>AND('Data '!#REF!,"AAAAADmfp6M=")</f>
        <v>#REF!</v>
      </c>
      <c r="FI8" t="e">
        <f>AND('Data '!#REF!,"AAAAADmfp6Q=")</f>
        <v>#REF!</v>
      </c>
      <c r="FJ8" t="e">
        <f>AND('Data '!#REF!,"AAAAADmfp6U=")</f>
        <v>#REF!</v>
      </c>
      <c r="FK8" t="e">
        <f>AND('Data '!#REF!,"AAAAADmfp6Y=")</f>
        <v>#REF!</v>
      </c>
      <c r="FL8" t="e">
        <f>AND('Data '!#REF!,"AAAAADmfp6c=")</f>
        <v>#REF!</v>
      </c>
      <c r="FM8">
        <f>IF('Data '!42:42,"AAAAADmfp6g=",0)</f>
        <v>0</v>
      </c>
      <c r="FN8" t="e">
        <f>AND('Data '!A42,"AAAAADmfp6k=")</f>
        <v>#VALUE!</v>
      </c>
      <c r="FO8" t="e">
        <f>AND('Data '!B42,"AAAAADmfp6o=")</f>
        <v>#VALUE!</v>
      </c>
      <c r="FP8" t="e">
        <f>AND('Data '!C42,"AAAAADmfp6s=")</f>
        <v>#VALUE!</v>
      </c>
      <c r="FQ8" t="e">
        <f>AND('Data '!D42,"AAAAADmfp6w=")</f>
        <v>#VALUE!</v>
      </c>
      <c r="FR8" t="e">
        <f>AND('Data '!E42,"AAAAADmfp60=")</f>
        <v>#VALUE!</v>
      </c>
      <c r="FS8" t="e">
        <f>AND('Data '!F42,"AAAAADmfp64=")</f>
        <v>#VALUE!</v>
      </c>
      <c r="FT8" t="e">
        <f>AND('Data '!G42,"AAAAADmfp68=")</f>
        <v>#VALUE!</v>
      </c>
      <c r="FU8" t="e">
        <f>AND('Data '!H42,"AAAAADmfp7A=")</f>
        <v>#VALUE!</v>
      </c>
      <c r="FV8" t="e">
        <f>AND('Data '!I42,"AAAAADmfp7E=")</f>
        <v>#VALUE!</v>
      </c>
      <c r="FW8" t="e">
        <f>AND('Data '!J42,"AAAAADmfp7I=")</f>
        <v>#VALUE!</v>
      </c>
      <c r="FX8" t="e">
        <f>AND('Data '!K42,"AAAAADmfp7M=")</f>
        <v>#VALUE!</v>
      </c>
      <c r="FY8" t="e">
        <f>AND('Data '!L42,"AAAAADmfp7Q=")</f>
        <v>#VALUE!</v>
      </c>
      <c r="FZ8" t="e">
        <f>AND('Data '!M42,"AAAAADmfp7U=")</f>
        <v>#VALUE!</v>
      </c>
      <c r="GA8" t="e">
        <f>AND('Data '!N42,"AAAAADmfp7Y=")</f>
        <v>#VALUE!</v>
      </c>
      <c r="GB8" t="e">
        <f>AND('Data '!O42,"AAAAADmfp7c=")</f>
        <v>#VALUE!</v>
      </c>
      <c r="GC8" t="e">
        <f>AND('Data '!P42,"AAAAADmfp7g=")</f>
        <v>#VALUE!</v>
      </c>
      <c r="GD8" t="e">
        <f>AND('Data '!Q42,"AAAAADmfp7k=")</f>
        <v>#VALUE!</v>
      </c>
      <c r="GE8" t="e">
        <f>AND('Data '!R42,"AAAAADmfp7o=")</f>
        <v>#VALUE!</v>
      </c>
      <c r="GF8" t="e">
        <f>AND('Data '!S42,"AAAAADmfp7s=")</f>
        <v>#VALUE!</v>
      </c>
      <c r="GG8" t="e">
        <f>AND('Data '!T42,"AAAAADmfp7w=")</f>
        <v>#VALUE!</v>
      </c>
      <c r="GH8" t="e">
        <f>AND('Data '!U42,"AAAAADmfp70=")</f>
        <v>#VALUE!</v>
      </c>
      <c r="GI8" t="e">
        <f>AND('Data '!V42,"AAAAADmfp74=")</f>
        <v>#VALUE!</v>
      </c>
      <c r="GJ8" t="e">
        <f>AND('Data '!W42,"AAAAADmfp78=")</f>
        <v>#VALUE!</v>
      </c>
      <c r="GK8" t="e">
        <f>AND('Data '!X42,"AAAAADmfp8A=")</f>
        <v>#VALUE!</v>
      </c>
      <c r="GL8" t="e">
        <f>AND('Data '!Y42,"AAAAADmfp8E=")</f>
        <v>#VALUE!</v>
      </c>
      <c r="GM8" t="e">
        <f>AND('Data '!Z42,"AAAAADmfp8I=")</f>
        <v>#VALUE!</v>
      </c>
      <c r="GN8" t="e">
        <f>AND('Data '!AA42,"AAAAADmfp8M=")</f>
        <v>#VALUE!</v>
      </c>
      <c r="GO8" t="e">
        <f>AND('Data '!AB42,"AAAAADmfp8Q=")</f>
        <v>#VALUE!</v>
      </c>
      <c r="GP8" t="e">
        <f>AND('Data '!AC42,"AAAAADmfp8U=")</f>
        <v>#VALUE!</v>
      </c>
      <c r="GQ8" t="e">
        <f>AND('Data '!#REF!,"AAAAADmfp8Y=")</f>
        <v>#REF!</v>
      </c>
      <c r="GR8" t="e">
        <f>AND('Data '!#REF!,"AAAAADmfp8c=")</f>
        <v>#REF!</v>
      </c>
      <c r="GS8" t="e">
        <f>AND('Data '!#REF!,"AAAAADmfp8g=")</f>
        <v>#REF!</v>
      </c>
      <c r="GT8" t="e">
        <f>AND('Data '!#REF!,"AAAAADmfp8k=")</f>
        <v>#REF!</v>
      </c>
      <c r="GU8" t="e">
        <f>AND('Data '!#REF!,"AAAAADmfp8o=")</f>
        <v>#REF!</v>
      </c>
      <c r="GV8" t="e">
        <f>AND('Data '!#REF!,"AAAAADmfp8s=")</f>
        <v>#REF!</v>
      </c>
      <c r="GW8" t="e">
        <f>AND('Data '!#REF!,"AAAAADmfp8w=")</f>
        <v>#REF!</v>
      </c>
      <c r="GX8" t="e">
        <f>AND('Data '!#REF!,"AAAAADmfp80=")</f>
        <v>#REF!</v>
      </c>
      <c r="GY8" t="e">
        <f>AND('Data '!#REF!,"AAAAADmfp84=")</f>
        <v>#REF!</v>
      </c>
      <c r="GZ8" t="e">
        <f>AND('Data '!#REF!,"AAAAADmfp88=")</f>
        <v>#REF!</v>
      </c>
      <c r="HA8">
        <f>IF('Data '!43:43,"AAAAADmfp9A=",0)</f>
        <v>0</v>
      </c>
      <c r="HB8" t="e">
        <f>AND('Data '!A43,"AAAAADmfp9E=")</f>
        <v>#VALUE!</v>
      </c>
      <c r="HC8" t="e">
        <f>AND('Data '!B43,"AAAAADmfp9I=")</f>
        <v>#VALUE!</v>
      </c>
      <c r="HD8" t="e">
        <f>AND('Data '!C43,"AAAAADmfp9M=")</f>
        <v>#VALUE!</v>
      </c>
      <c r="HE8" t="e">
        <f>AND('Data '!D43,"AAAAADmfp9Q=")</f>
        <v>#VALUE!</v>
      </c>
      <c r="HF8" t="e">
        <f>AND('Data '!E43,"AAAAADmfp9U=")</f>
        <v>#VALUE!</v>
      </c>
      <c r="HG8" t="e">
        <f>AND('Data '!F43,"AAAAADmfp9Y=")</f>
        <v>#VALUE!</v>
      </c>
      <c r="HH8" t="e">
        <f>AND('Data '!G43,"AAAAADmfp9c=")</f>
        <v>#VALUE!</v>
      </c>
      <c r="HI8" t="e">
        <f>AND('Data '!H43,"AAAAADmfp9g=")</f>
        <v>#VALUE!</v>
      </c>
      <c r="HJ8" t="e">
        <f>AND('Data '!I43,"AAAAADmfp9k=")</f>
        <v>#VALUE!</v>
      </c>
      <c r="HK8" t="e">
        <f>AND('Data '!J43,"AAAAADmfp9o=")</f>
        <v>#VALUE!</v>
      </c>
      <c r="HL8" t="e">
        <f>AND('Data '!K43,"AAAAADmfp9s=")</f>
        <v>#VALUE!</v>
      </c>
      <c r="HM8" t="e">
        <f>AND('Data '!L43,"AAAAADmfp9w=")</f>
        <v>#VALUE!</v>
      </c>
      <c r="HN8" t="e">
        <f>AND('Data '!M43,"AAAAADmfp90=")</f>
        <v>#VALUE!</v>
      </c>
      <c r="HO8" t="e">
        <f>AND('Data '!N43,"AAAAADmfp94=")</f>
        <v>#VALUE!</v>
      </c>
      <c r="HP8" t="e">
        <f>AND('Data '!O43,"AAAAADmfp98=")</f>
        <v>#VALUE!</v>
      </c>
      <c r="HQ8" t="e">
        <f>AND('Data '!P43,"AAAAADmfp+A=")</f>
        <v>#VALUE!</v>
      </c>
      <c r="HR8" t="e">
        <f>AND('Data '!Q43,"AAAAADmfp+E=")</f>
        <v>#VALUE!</v>
      </c>
      <c r="HS8" t="e">
        <f>AND('Data '!R43,"AAAAADmfp+I=")</f>
        <v>#VALUE!</v>
      </c>
      <c r="HT8" t="e">
        <f>AND('Data '!S43,"AAAAADmfp+M=")</f>
        <v>#VALUE!</v>
      </c>
      <c r="HU8" t="e">
        <f>AND('Data '!T43,"AAAAADmfp+Q=")</f>
        <v>#VALUE!</v>
      </c>
      <c r="HV8" t="e">
        <f>AND('Data '!U43,"AAAAADmfp+U=")</f>
        <v>#VALUE!</v>
      </c>
      <c r="HW8" t="e">
        <f>AND('Data '!V43,"AAAAADmfp+Y=")</f>
        <v>#VALUE!</v>
      </c>
      <c r="HX8" t="e">
        <f>AND('Data '!W43,"AAAAADmfp+c=")</f>
        <v>#VALUE!</v>
      </c>
      <c r="HY8" t="e">
        <f>AND('Data '!X43,"AAAAADmfp+g=")</f>
        <v>#VALUE!</v>
      </c>
      <c r="HZ8" t="e">
        <f>AND('Data '!Y43,"AAAAADmfp+k=")</f>
        <v>#VALUE!</v>
      </c>
      <c r="IA8" t="e">
        <f>AND('Data '!Z43,"AAAAADmfp+o=")</f>
        <v>#VALUE!</v>
      </c>
      <c r="IB8" t="e">
        <f>AND('Data '!AA43,"AAAAADmfp+s=")</f>
        <v>#VALUE!</v>
      </c>
      <c r="IC8" t="e">
        <f>AND('Data '!AB43,"AAAAADmfp+w=")</f>
        <v>#VALUE!</v>
      </c>
      <c r="ID8" t="e">
        <f>AND('Data '!AC43,"AAAAADmfp+0=")</f>
        <v>#VALUE!</v>
      </c>
      <c r="IE8" t="e">
        <f>AND('Data '!#REF!,"AAAAADmfp+4=")</f>
        <v>#REF!</v>
      </c>
      <c r="IF8" t="e">
        <f>AND('Data '!#REF!,"AAAAADmfp+8=")</f>
        <v>#REF!</v>
      </c>
      <c r="IG8" t="e">
        <f>AND('Data '!#REF!,"AAAAADmfp/A=")</f>
        <v>#REF!</v>
      </c>
      <c r="IH8" t="e">
        <f>AND('Data '!#REF!,"AAAAADmfp/E=")</f>
        <v>#REF!</v>
      </c>
      <c r="II8" t="e">
        <f>AND('Data '!#REF!,"AAAAADmfp/I=")</f>
        <v>#REF!</v>
      </c>
      <c r="IJ8" t="e">
        <f>AND('Data '!#REF!,"AAAAADmfp/M=")</f>
        <v>#REF!</v>
      </c>
      <c r="IK8" t="e">
        <f>AND('Data '!#REF!,"AAAAADmfp/Q=")</f>
        <v>#REF!</v>
      </c>
      <c r="IL8" t="e">
        <f>AND('Data '!#REF!,"AAAAADmfp/U=")</f>
        <v>#REF!</v>
      </c>
      <c r="IM8" t="e">
        <f>AND('Data '!#REF!,"AAAAADmfp/Y=")</f>
        <v>#REF!</v>
      </c>
      <c r="IN8" t="e">
        <f>AND('Data '!#REF!,"AAAAADmfp/c=")</f>
        <v>#REF!</v>
      </c>
      <c r="IO8">
        <f>IF('Data '!44:44,"AAAAADmfp/g=",0)</f>
        <v>0</v>
      </c>
      <c r="IP8" t="e">
        <f>AND('Data '!A44,"AAAAADmfp/k=")</f>
        <v>#VALUE!</v>
      </c>
      <c r="IQ8" t="e">
        <f>AND('Data '!B44,"AAAAADmfp/o=")</f>
        <v>#VALUE!</v>
      </c>
      <c r="IR8" t="e">
        <f>AND('Data '!C44,"AAAAADmfp/s=")</f>
        <v>#VALUE!</v>
      </c>
      <c r="IS8" t="e">
        <f>AND('Data '!D44,"AAAAADmfp/w=")</f>
        <v>#VALUE!</v>
      </c>
      <c r="IT8" t="e">
        <f>AND('Data '!E44,"AAAAADmfp/0=")</f>
        <v>#VALUE!</v>
      </c>
      <c r="IU8" t="e">
        <f>AND('Data '!F44,"AAAAADmfp/4=")</f>
        <v>#VALUE!</v>
      </c>
      <c r="IV8" t="e">
        <f>AND('Data '!G44,"AAAAADmfp/8=")</f>
        <v>#VALUE!</v>
      </c>
    </row>
    <row r="9" spans="1:256" x14ac:dyDescent="0.25">
      <c r="A9" t="e">
        <f>AND('Data '!H44,"AAAAAF/z/gA=")</f>
        <v>#VALUE!</v>
      </c>
      <c r="B9" t="e">
        <f>AND('Data '!I44,"AAAAAF/z/gE=")</f>
        <v>#VALUE!</v>
      </c>
      <c r="C9">
        <f>IF('Data '!45:45,"AAAAAF/z/gI=",0)</f>
        <v>0</v>
      </c>
      <c r="D9" t="e">
        <f>AND('Data '!A45,"AAAAAF/z/gM=")</f>
        <v>#VALUE!</v>
      </c>
      <c r="E9" t="e">
        <f>AND('Data '!B45,"AAAAAF/z/gQ=")</f>
        <v>#VALUE!</v>
      </c>
      <c r="F9" t="e">
        <f>AND('Data '!C45,"AAAAAF/z/gU=")</f>
        <v>#VALUE!</v>
      </c>
      <c r="G9" t="e">
        <f>AND('Data '!D45,"AAAAAF/z/gY=")</f>
        <v>#VALUE!</v>
      </c>
      <c r="H9" t="e">
        <f>AND('Data '!E45,"AAAAAF/z/gc=")</f>
        <v>#VALUE!</v>
      </c>
      <c r="I9" t="e">
        <f>AND('Data '!F45,"AAAAAF/z/gg=")</f>
        <v>#VALUE!</v>
      </c>
      <c r="J9" t="e">
        <f>AND('Data '!G45,"AAAAAF/z/gk=")</f>
        <v>#VALUE!</v>
      </c>
      <c r="K9" t="e">
        <f>AND('Data '!H45,"AAAAAF/z/go=")</f>
        <v>#VALUE!</v>
      </c>
      <c r="L9" t="e">
        <f>AND('Data '!I45,"AAAAAF/z/gs=")</f>
        <v>#VALUE!</v>
      </c>
      <c r="M9">
        <f>IF('Data '!46:46,"AAAAAF/z/gw=",0)</f>
        <v>0</v>
      </c>
      <c r="N9" t="e">
        <f>AND('Data '!A46,"AAAAAF/z/g0=")</f>
        <v>#VALUE!</v>
      </c>
      <c r="O9" t="e">
        <f>AND('Data '!B46,"AAAAAF/z/g4=")</f>
        <v>#VALUE!</v>
      </c>
      <c r="P9" t="e">
        <f>AND('Data '!C46,"AAAAAF/z/g8=")</f>
        <v>#VALUE!</v>
      </c>
      <c r="Q9" t="e">
        <f>AND('Data '!D46,"AAAAAF/z/hA=")</f>
        <v>#VALUE!</v>
      </c>
      <c r="R9" t="e">
        <f>AND('Data '!E46,"AAAAAF/z/hE=")</f>
        <v>#VALUE!</v>
      </c>
      <c r="S9" t="e">
        <f>AND('Data '!F46,"AAAAAF/z/hI=")</f>
        <v>#VALUE!</v>
      </c>
      <c r="T9" t="e">
        <f>AND('Data '!G46,"AAAAAF/z/hM=")</f>
        <v>#VALUE!</v>
      </c>
      <c r="U9" t="e">
        <f>AND('Data '!H46,"AAAAAF/z/hQ=")</f>
        <v>#VALUE!</v>
      </c>
      <c r="V9" t="e">
        <f>AND('Data '!I46,"AAAAAF/z/hU=")</f>
        <v>#VALUE!</v>
      </c>
      <c r="W9">
        <f>IF('Data '!47:47,"AAAAAF/z/hY=",0)</f>
        <v>0</v>
      </c>
      <c r="X9" t="e">
        <f>AND('Data '!A47,"AAAAAF/z/hc=")</f>
        <v>#VALUE!</v>
      </c>
      <c r="Y9" t="e">
        <f>AND('Data '!B47,"AAAAAF/z/hg=")</f>
        <v>#VALUE!</v>
      </c>
      <c r="Z9" t="e">
        <f>AND('Data '!C47,"AAAAAF/z/hk=")</f>
        <v>#VALUE!</v>
      </c>
      <c r="AA9" t="e">
        <f>AND('Data '!D47,"AAAAAF/z/ho=")</f>
        <v>#VALUE!</v>
      </c>
      <c r="AB9" t="e">
        <f>AND('Data '!E47,"AAAAAF/z/hs=")</f>
        <v>#VALUE!</v>
      </c>
      <c r="AC9" t="e">
        <f>AND('Data '!F47,"AAAAAF/z/hw=")</f>
        <v>#VALUE!</v>
      </c>
      <c r="AD9" t="e">
        <f>AND('Data '!G47,"AAAAAF/z/h0=")</f>
        <v>#VALUE!</v>
      </c>
      <c r="AE9" t="e">
        <f>AND('Data '!H47,"AAAAAF/z/h4=")</f>
        <v>#VALUE!</v>
      </c>
      <c r="AF9" t="e">
        <f>AND('Data '!I47,"AAAAAF/z/h8=")</f>
        <v>#VALUE!</v>
      </c>
      <c r="AG9">
        <f>IF('Data '!48:48,"AAAAAF/z/iA=",0)</f>
        <v>0</v>
      </c>
      <c r="AH9" t="e">
        <f>AND('Data '!A48,"AAAAAF/z/iE=")</f>
        <v>#VALUE!</v>
      </c>
      <c r="AI9" t="e">
        <f>AND('Data '!B48,"AAAAAF/z/iI=")</f>
        <v>#VALUE!</v>
      </c>
      <c r="AJ9" t="e">
        <f>AND('Data '!C48,"AAAAAF/z/iM=")</f>
        <v>#VALUE!</v>
      </c>
      <c r="AK9" t="e">
        <f>AND('Data '!D48,"AAAAAF/z/iQ=")</f>
        <v>#VALUE!</v>
      </c>
      <c r="AL9" t="e">
        <f>AND('Data '!E48,"AAAAAF/z/iU=")</f>
        <v>#VALUE!</v>
      </c>
      <c r="AM9" t="e">
        <f>AND('Data '!F48,"AAAAAF/z/iY=")</f>
        <v>#VALUE!</v>
      </c>
      <c r="AN9" t="e">
        <f>AND('Data '!G48,"AAAAAF/z/ic=")</f>
        <v>#VALUE!</v>
      </c>
      <c r="AO9" t="e">
        <f>AND('Data '!H48,"AAAAAF/z/ig=")</f>
        <v>#VALUE!</v>
      </c>
      <c r="AP9" t="e">
        <f>AND('Data '!I48,"AAAAAF/z/ik=")</f>
        <v>#VALUE!</v>
      </c>
      <c r="AQ9">
        <f>IF('Data '!49:49,"AAAAAF/z/io=",0)</f>
        <v>0</v>
      </c>
      <c r="AR9" t="e">
        <f>AND('Data '!A49,"AAAAAF/z/is=")</f>
        <v>#VALUE!</v>
      </c>
      <c r="AS9" t="e">
        <f>AND('Data '!B49,"AAAAAF/z/iw=")</f>
        <v>#VALUE!</v>
      </c>
      <c r="AT9" t="e">
        <f>AND('Data '!C49,"AAAAAF/z/i0=")</f>
        <v>#VALUE!</v>
      </c>
      <c r="AU9" t="e">
        <f>AND('Data '!D49,"AAAAAF/z/i4=")</f>
        <v>#VALUE!</v>
      </c>
      <c r="AV9" t="e">
        <f>AND('Data '!E49,"AAAAAF/z/i8=")</f>
        <v>#VALUE!</v>
      </c>
      <c r="AW9" t="e">
        <f>AND('Data '!F49,"AAAAAF/z/jA=")</f>
        <v>#VALUE!</v>
      </c>
      <c r="AX9" t="e">
        <f>AND('Data '!G49,"AAAAAF/z/jE=")</f>
        <v>#VALUE!</v>
      </c>
      <c r="AY9" t="e">
        <f>AND('Data '!H49,"AAAAAF/z/jI=")</f>
        <v>#VALUE!</v>
      </c>
      <c r="AZ9" t="e">
        <f>AND('Data '!I49,"AAAAAF/z/jM=")</f>
        <v>#VALUE!</v>
      </c>
      <c r="BA9">
        <f>IF('Data '!50:50,"AAAAAF/z/jQ=",0)</f>
        <v>0</v>
      </c>
      <c r="BB9" t="e">
        <f>AND('Data '!A50,"AAAAAF/z/jU=")</f>
        <v>#VALUE!</v>
      </c>
      <c r="BC9" t="e">
        <f>AND('Data '!B50,"AAAAAF/z/jY=")</f>
        <v>#VALUE!</v>
      </c>
      <c r="BD9" t="e">
        <f>AND('Data '!C50,"AAAAAF/z/jc=")</f>
        <v>#VALUE!</v>
      </c>
      <c r="BE9" t="e">
        <f>AND('Data '!D50,"AAAAAF/z/jg=")</f>
        <v>#VALUE!</v>
      </c>
      <c r="BF9" t="e">
        <f>AND('Data '!E50,"AAAAAF/z/jk=")</f>
        <v>#VALUE!</v>
      </c>
      <c r="BG9" t="e">
        <f>AND('Data '!F50,"AAAAAF/z/jo=")</f>
        <v>#VALUE!</v>
      </c>
      <c r="BH9" t="e">
        <f>AND('Data '!G50,"AAAAAF/z/js=")</f>
        <v>#VALUE!</v>
      </c>
      <c r="BI9" t="e">
        <f>AND('Data '!H50,"AAAAAF/z/jw=")</f>
        <v>#VALUE!</v>
      </c>
      <c r="BJ9" t="e">
        <f>AND('Data '!I50,"AAAAAF/z/j0=")</f>
        <v>#VALUE!</v>
      </c>
      <c r="BK9">
        <f>IF('Data '!51:51,"AAAAAF/z/j4=",0)</f>
        <v>0</v>
      </c>
      <c r="BL9" t="e">
        <f>AND('Data '!A51,"AAAAAF/z/j8=")</f>
        <v>#VALUE!</v>
      </c>
      <c r="BM9" t="e">
        <f>AND('Data '!B51,"AAAAAF/z/kA=")</f>
        <v>#VALUE!</v>
      </c>
      <c r="BN9" t="e">
        <f>AND('Data '!C51,"AAAAAF/z/kE=")</f>
        <v>#VALUE!</v>
      </c>
      <c r="BO9" t="e">
        <f>AND('Data '!D51,"AAAAAF/z/kI=")</f>
        <v>#VALUE!</v>
      </c>
      <c r="BP9" t="e">
        <f>AND('Data '!E51,"AAAAAF/z/kM=")</f>
        <v>#VALUE!</v>
      </c>
      <c r="BQ9" t="e">
        <f>AND('Data '!F51,"AAAAAF/z/kQ=")</f>
        <v>#VALUE!</v>
      </c>
      <c r="BR9" t="e">
        <f>AND('Data '!G51,"AAAAAF/z/kU=")</f>
        <v>#VALUE!</v>
      </c>
      <c r="BS9" t="e">
        <f>AND('Data '!H51,"AAAAAF/z/kY=")</f>
        <v>#VALUE!</v>
      </c>
      <c r="BT9" t="e">
        <f>AND('Data '!I51,"AAAAAF/z/kc=")</f>
        <v>#VALUE!</v>
      </c>
      <c r="BU9">
        <f>IF('Data '!52:52,"AAAAAF/z/kg=",0)</f>
        <v>0</v>
      </c>
      <c r="BV9" t="e">
        <f>AND('Data '!A52,"AAAAAF/z/kk=")</f>
        <v>#VALUE!</v>
      </c>
      <c r="BW9" t="e">
        <f>AND('Data '!B52,"AAAAAF/z/ko=")</f>
        <v>#VALUE!</v>
      </c>
      <c r="BX9" t="e">
        <f>AND('Data '!C52,"AAAAAF/z/ks=")</f>
        <v>#VALUE!</v>
      </c>
      <c r="BY9" t="e">
        <f>AND('Data '!D52,"AAAAAF/z/kw=")</f>
        <v>#VALUE!</v>
      </c>
      <c r="BZ9" t="e">
        <f>AND('Data '!E52,"AAAAAF/z/k0=")</f>
        <v>#VALUE!</v>
      </c>
      <c r="CA9" t="e">
        <f>AND('Data '!F52,"AAAAAF/z/k4=")</f>
        <v>#VALUE!</v>
      </c>
      <c r="CB9" t="e">
        <f>AND('Data '!G52,"AAAAAF/z/k8=")</f>
        <v>#VALUE!</v>
      </c>
      <c r="CC9" t="e">
        <f>AND('Data '!H52,"AAAAAF/z/lA=")</f>
        <v>#VALUE!</v>
      </c>
      <c r="CD9" t="e">
        <f>AND('Data '!I52,"AAAAAF/z/lE=")</f>
        <v>#VALUE!</v>
      </c>
      <c r="CE9">
        <f>IF('Data '!53:53,"AAAAAF/z/lI=",0)</f>
        <v>0</v>
      </c>
      <c r="CF9" t="e">
        <f>AND('Data '!A53,"AAAAAF/z/lM=")</f>
        <v>#VALUE!</v>
      </c>
      <c r="CG9" t="e">
        <f>AND('Data '!B53,"AAAAAF/z/lQ=")</f>
        <v>#VALUE!</v>
      </c>
      <c r="CH9" t="e">
        <f>AND('Data '!C53,"AAAAAF/z/lU=")</f>
        <v>#VALUE!</v>
      </c>
      <c r="CI9" t="e">
        <f>AND('Data '!D53,"AAAAAF/z/lY=")</f>
        <v>#VALUE!</v>
      </c>
      <c r="CJ9" t="e">
        <f>AND('Data '!E53,"AAAAAF/z/lc=")</f>
        <v>#VALUE!</v>
      </c>
      <c r="CK9" t="e">
        <f>AND('Data '!F53,"AAAAAF/z/lg=")</f>
        <v>#VALUE!</v>
      </c>
      <c r="CL9" t="e">
        <f>AND('Data '!G53,"AAAAAF/z/lk=")</f>
        <v>#VALUE!</v>
      </c>
      <c r="CM9" t="e">
        <f>AND('Data '!H53,"AAAAAF/z/lo=")</f>
        <v>#VALUE!</v>
      </c>
      <c r="CN9" t="e">
        <f>AND('Data '!I53,"AAAAAF/z/ls=")</f>
        <v>#VALUE!</v>
      </c>
      <c r="CO9">
        <f>IF('Data '!54:54,"AAAAAF/z/lw=",0)</f>
        <v>0</v>
      </c>
      <c r="CP9" t="e">
        <f>AND('Data '!A54,"AAAAAF/z/l0=")</f>
        <v>#VALUE!</v>
      </c>
      <c r="CQ9" t="e">
        <f>AND('Data '!B54,"AAAAAF/z/l4=")</f>
        <v>#VALUE!</v>
      </c>
      <c r="CR9" t="e">
        <f>AND('Data '!C54,"AAAAAF/z/l8=")</f>
        <v>#VALUE!</v>
      </c>
      <c r="CS9" t="e">
        <f>AND('Data '!D54,"AAAAAF/z/mA=")</f>
        <v>#VALUE!</v>
      </c>
      <c r="CT9" t="e">
        <f>AND('Data '!E54,"AAAAAF/z/mE=")</f>
        <v>#VALUE!</v>
      </c>
      <c r="CU9" t="e">
        <f>AND('Data '!F54,"AAAAAF/z/mI=")</f>
        <v>#VALUE!</v>
      </c>
      <c r="CV9" t="e">
        <f>AND('Data '!G54,"AAAAAF/z/mM=")</f>
        <v>#VALUE!</v>
      </c>
      <c r="CW9" t="e">
        <f>AND('Data '!H54,"AAAAAF/z/mQ=")</f>
        <v>#VALUE!</v>
      </c>
      <c r="CX9" t="e">
        <f>AND('Data '!I54,"AAAAAF/z/mU=")</f>
        <v>#VALUE!</v>
      </c>
      <c r="CY9">
        <f>IF('Data '!55:55,"AAAAAF/z/mY=",0)</f>
        <v>0</v>
      </c>
      <c r="CZ9" t="e">
        <f>AND('Data '!A55,"AAAAAF/z/mc=")</f>
        <v>#VALUE!</v>
      </c>
      <c r="DA9" t="e">
        <f>AND('Data '!B55,"AAAAAF/z/mg=")</f>
        <v>#VALUE!</v>
      </c>
      <c r="DB9" t="e">
        <f>AND('Data '!C55,"AAAAAF/z/mk=")</f>
        <v>#VALUE!</v>
      </c>
      <c r="DC9" t="e">
        <f>AND('Data '!D55,"AAAAAF/z/mo=")</f>
        <v>#VALUE!</v>
      </c>
      <c r="DD9" t="e">
        <f>AND('Data '!E55,"AAAAAF/z/ms=")</f>
        <v>#VALUE!</v>
      </c>
      <c r="DE9" t="e">
        <f>AND('Data '!F55,"AAAAAF/z/mw=")</f>
        <v>#VALUE!</v>
      </c>
      <c r="DF9" t="e">
        <f>AND('Data '!G55,"AAAAAF/z/m0=")</f>
        <v>#VALUE!</v>
      </c>
      <c r="DG9" t="e">
        <f>AND('Data '!H55,"AAAAAF/z/m4=")</f>
        <v>#VALUE!</v>
      </c>
      <c r="DH9" t="e">
        <f>AND('Data '!I55,"AAAAAF/z/m8=")</f>
        <v>#VALUE!</v>
      </c>
      <c r="DI9">
        <f>IF('Data '!56:56,"AAAAAF/z/nA=",0)</f>
        <v>0</v>
      </c>
      <c r="DJ9" t="e">
        <f>AND('Data '!A56,"AAAAAF/z/nE=")</f>
        <v>#VALUE!</v>
      </c>
      <c r="DK9" t="e">
        <f>AND('Data '!B56,"AAAAAF/z/nI=")</f>
        <v>#VALUE!</v>
      </c>
      <c r="DL9" t="e">
        <f>AND('Data '!C56,"AAAAAF/z/nM=")</f>
        <v>#VALUE!</v>
      </c>
      <c r="DM9" t="e">
        <f>AND('Data '!D56,"AAAAAF/z/nQ=")</f>
        <v>#VALUE!</v>
      </c>
      <c r="DN9" t="e">
        <f>AND('Data '!E56,"AAAAAF/z/nU=")</f>
        <v>#VALUE!</v>
      </c>
      <c r="DO9" t="e">
        <f>AND('Data '!F56,"AAAAAF/z/nY=")</f>
        <v>#VALUE!</v>
      </c>
      <c r="DP9" t="e">
        <f>AND('Data '!G56,"AAAAAF/z/nc=")</f>
        <v>#VALUE!</v>
      </c>
      <c r="DQ9" t="e">
        <f>AND('Data '!H56,"AAAAAF/z/ng=")</f>
        <v>#VALUE!</v>
      </c>
      <c r="DR9" t="e">
        <f>AND('Data '!I56,"AAAAAF/z/nk=")</f>
        <v>#VALUE!</v>
      </c>
      <c r="DS9">
        <f>IF('Data '!57:57,"AAAAAF/z/no=",0)</f>
        <v>0</v>
      </c>
      <c r="DT9" t="e">
        <f>AND('Data '!A57,"AAAAAF/z/ns=")</f>
        <v>#VALUE!</v>
      </c>
      <c r="DU9" t="e">
        <f>AND('Data '!B57,"AAAAAF/z/nw=")</f>
        <v>#VALUE!</v>
      </c>
      <c r="DV9" t="e">
        <f>AND('Data '!C57,"AAAAAF/z/n0=")</f>
        <v>#VALUE!</v>
      </c>
      <c r="DW9" t="e">
        <f>AND('Data '!D57,"AAAAAF/z/n4=")</f>
        <v>#VALUE!</v>
      </c>
      <c r="DX9" t="e">
        <f>AND('Data '!E57,"AAAAAF/z/n8=")</f>
        <v>#VALUE!</v>
      </c>
      <c r="DY9" t="e">
        <f>AND('Data '!F57,"AAAAAF/z/oA=")</f>
        <v>#VALUE!</v>
      </c>
      <c r="DZ9" t="e">
        <f>AND('Data '!G57,"AAAAAF/z/oE=")</f>
        <v>#VALUE!</v>
      </c>
      <c r="EA9" t="e">
        <f>AND('Data '!H57,"AAAAAF/z/oI=")</f>
        <v>#VALUE!</v>
      </c>
      <c r="EB9" t="e">
        <f>AND('Data '!I57,"AAAAAF/z/oM=")</f>
        <v>#VALUE!</v>
      </c>
      <c r="EC9">
        <f>IF('Data '!58:58,"AAAAAF/z/oQ=",0)</f>
        <v>0</v>
      </c>
      <c r="ED9" t="e">
        <f>AND('Data '!A58,"AAAAAF/z/oU=")</f>
        <v>#VALUE!</v>
      </c>
      <c r="EE9" t="e">
        <f>AND('Data '!B58,"AAAAAF/z/oY=")</f>
        <v>#VALUE!</v>
      </c>
      <c r="EF9" t="e">
        <f>AND('Data '!C58,"AAAAAF/z/oc=")</f>
        <v>#VALUE!</v>
      </c>
      <c r="EG9" t="e">
        <f>AND('Data '!D58,"AAAAAF/z/og=")</f>
        <v>#VALUE!</v>
      </c>
      <c r="EH9" t="e">
        <f>AND('Data '!E58,"AAAAAF/z/ok=")</f>
        <v>#VALUE!</v>
      </c>
      <c r="EI9" t="e">
        <f>AND('Data '!F58,"AAAAAF/z/oo=")</f>
        <v>#VALUE!</v>
      </c>
      <c r="EJ9" t="e">
        <f>AND('Data '!G58,"AAAAAF/z/os=")</f>
        <v>#VALUE!</v>
      </c>
      <c r="EK9" t="e">
        <f>AND('Data '!H58,"AAAAAF/z/ow=")</f>
        <v>#VALUE!</v>
      </c>
      <c r="EL9" t="e">
        <f>AND('Data '!I58,"AAAAAF/z/o0=")</f>
        <v>#VALUE!</v>
      </c>
      <c r="EM9">
        <f>IF('Data '!59:59,"AAAAAF/z/o4=",0)</f>
        <v>0</v>
      </c>
      <c r="EN9" t="e">
        <f>AND('Data '!A59,"AAAAAF/z/o8=")</f>
        <v>#VALUE!</v>
      </c>
      <c r="EO9" t="e">
        <f>AND('Data '!B59,"AAAAAF/z/pA=")</f>
        <v>#VALUE!</v>
      </c>
      <c r="EP9" t="e">
        <f>AND('Data '!C59,"AAAAAF/z/pE=")</f>
        <v>#VALUE!</v>
      </c>
      <c r="EQ9" t="e">
        <f>AND('Data '!D59,"AAAAAF/z/pI=")</f>
        <v>#VALUE!</v>
      </c>
      <c r="ER9" t="e">
        <f>AND('Data '!E59,"AAAAAF/z/pM=")</f>
        <v>#VALUE!</v>
      </c>
      <c r="ES9" t="e">
        <f>AND('Data '!F59,"AAAAAF/z/pQ=")</f>
        <v>#VALUE!</v>
      </c>
      <c r="ET9" t="e">
        <f>AND('Data '!G59,"AAAAAF/z/pU=")</f>
        <v>#VALUE!</v>
      </c>
      <c r="EU9" t="e">
        <f>AND('Data '!H59,"AAAAAF/z/pY=")</f>
        <v>#VALUE!</v>
      </c>
      <c r="EV9" t="e">
        <f>AND('Data '!I59,"AAAAAF/z/pc=")</f>
        <v>#VALUE!</v>
      </c>
      <c r="EW9">
        <f>IF('Data '!60:60,"AAAAAF/z/pg=",0)</f>
        <v>0</v>
      </c>
      <c r="EX9" t="e">
        <f>AND('Data '!A60,"AAAAAF/z/pk=")</f>
        <v>#VALUE!</v>
      </c>
      <c r="EY9" t="e">
        <f>AND('Data '!B60,"AAAAAF/z/po=")</f>
        <v>#VALUE!</v>
      </c>
      <c r="EZ9" t="e">
        <f>AND('Data '!C60,"AAAAAF/z/ps=")</f>
        <v>#VALUE!</v>
      </c>
      <c r="FA9" t="e">
        <f>AND('Data '!D60,"AAAAAF/z/pw=")</f>
        <v>#VALUE!</v>
      </c>
      <c r="FB9" t="e">
        <f>AND('Data '!E60,"AAAAAF/z/p0=")</f>
        <v>#VALUE!</v>
      </c>
      <c r="FC9" t="e">
        <f>AND('Data '!F60,"AAAAAF/z/p4=")</f>
        <v>#VALUE!</v>
      </c>
      <c r="FD9" t="e">
        <f>AND('Data '!G60,"AAAAAF/z/p8=")</f>
        <v>#VALUE!</v>
      </c>
      <c r="FE9" t="e">
        <f>AND('Data '!H60,"AAAAAF/z/qA=")</f>
        <v>#VALUE!</v>
      </c>
      <c r="FF9" t="e">
        <f>AND('Data '!I60,"AAAAAF/z/qE=")</f>
        <v>#VALUE!</v>
      </c>
      <c r="FG9" t="e">
        <f>IF('Data '!A:A,"AAAAAF/z/qI=",0)</f>
        <v>#VALUE!</v>
      </c>
      <c r="FH9" t="str">
        <f>IF('Data '!B:B,"AAAAAF/z/qM=",0)</f>
        <v>AAAAAF/z/qM=</v>
      </c>
      <c r="FI9" t="str">
        <f>IF('Data '!C:C,"AAAAAF/z/qQ=",0)</f>
        <v>AAAAAF/z/qQ=</v>
      </c>
      <c r="FJ9" t="str">
        <f>IF('Data '!D:D,"AAAAAF/z/qU=",0)</f>
        <v>AAAAAF/z/qU=</v>
      </c>
      <c r="FK9">
        <f>IF('Data '!E:E,"AAAAAF/z/qY=",0)</f>
        <v>0</v>
      </c>
      <c r="FL9" t="e">
        <f>IF('Data '!F:F,"AAAAAF/z/qc=",0)</f>
        <v>#VALUE!</v>
      </c>
      <c r="FM9" t="str">
        <f>IF('Data '!G:G,"AAAAAF/z/qg=",0)</f>
        <v>AAAAAF/z/qg=</v>
      </c>
      <c r="FN9" t="str">
        <f>IF('Data '!H:H,"AAAAAF/z/qk=",0)</f>
        <v>AAAAAF/z/qk=</v>
      </c>
      <c r="FO9" t="str">
        <f>IF('Data '!I:I,"AAAAAF/z/qo=",0)</f>
        <v>AAAAAF/z/qo=</v>
      </c>
      <c r="FP9">
        <f>IF('Data '!J:J,"AAAAAF/z/qs=",0)</f>
        <v>0</v>
      </c>
      <c r="FQ9" t="e">
        <f>IF('Data '!K:K,"AAAAAF/z/qw=",0)</f>
        <v>#VALUE!</v>
      </c>
      <c r="FR9" t="str">
        <f>IF('Data '!L:L,"AAAAAF/z/q0=",0)</f>
        <v>AAAAAF/z/q0=</v>
      </c>
      <c r="FS9" t="str">
        <f>IF('Data '!M:M,"AAAAAF/z/q4=",0)</f>
        <v>AAAAAF/z/q4=</v>
      </c>
      <c r="FT9" t="str">
        <f>IF('Data '!N:N,"AAAAAF/z/q8=",0)</f>
        <v>AAAAAF/z/q8=</v>
      </c>
      <c r="FU9">
        <f>IF('Data '!O:O,"AAAAAF/z/rA=",0)</f>
        <v>0</v>
      </c>
      <c r="FV9" t="e">
        <f>IF('Data '!P:P,"AAAAAF/z/rE=",0)</f>
        <v>#VALUE!</v>
      </c>
      <c r="FW9" t="str">
        <f>IF('Data '!Q:Q,"AAAAAF/z/rI=",0)</f>
        <v>AAAAAF/z/rI=</v>
      </c>
      <c r="FX9" t="str">
        <f>IF('Data '!R:R,"AAAAAF/z/rM=",0)</f>
        <v>AAAAAF/z/rM=</v>
      </c>
      <c r="FY9" t="str">
        <f>IF('Data '!S:S,"AAAAAF/z/rQ=",0)</f>
        <v>AAAAAF/z/rQ=</v>
      </c>
      <c r="FZ9">
        <f>IF('Data '!T:T,"AAAAAF/z/rU=",0)</f>
        <v>0</v>
      </c>
      <c r="GA9" t="e">
        <f>IF('Data '!U:U,"AAAAAF/z/rY=",0)</f>
        <v>#VALUE!</v>
      </c>
      <c r="GB9" t="str">
        <f>IF('Data '!V:V,"AAAAAF/z/rc=",0)</f>
        <v>AAAAAF/z/rc=</v>
      </c>
      <c r="GC9" t="str">
        <f>IF('Data '!W:W,"AAAAAF/z/rg=",0)</f>
        <v>AAAAAF/z/rg=</v>
      </c>
      <c r="GD9" t="str">
        <f>IF('Data '!X:X,"AAAAAF/z/rk=",0)</f>
        <v>AAAAAF/z/rk=</v>
      </c>
      <c r="GE9">
        <f>IF('Data '!Y:Y,"AAAAAF/z/ro=",0)</f>
        <v>0</v>
      </c>
      <c r="GF9" t="e">
        <f>IF('Data '!Z:Z,"AAAAAF/z/rs=",0)</f>
        <v>#VALUE!</v>
      </c>
      <c r="GG9" t="str">
        <f>IF('Data '!AA:AA,"AAAAAF/z/rw=",0)</f>
        <v>AAAAAF/z/rw=</v>
      </c>
      <c r="GH9" t="str">
        <f>IF('Data '!AB:AB,"AAAAAF/z/r0=",0)</f>
        <v>AAAAAF/z/r0=</v>
      </c>
      <c r="GI9" t="str">
        <f>IF('Data '!AC:AC,"AAAAAF/z/r4=",0)</f>
        <v>AAAAAF/z/r4=</v>
      </c>
      <c r="GJ9" t="e">
        <f>IF('Data '!#REF!,"AAAAAF/z/r8=",0)</f>
        <v>#REF!</v>
      </c>
      <c r="GK9" t="e">
        <f>IF('Data '!#REF!,"AAAAAF/z/sA=",0)</f>
        <v>#REF!</v>
      </c>
      <c r="GL9" t="e">
        <f>IF('Data '!#REF!,"AAAAAF/z/sE=",0)</f>
        <v>#REF!</v>
      </c>
      <c r="GM9" t="e">
        <f>IF('Data '!#REF!,"AAAAAF/z/sI=",0)</f>
        <v>#REF!</v>
      </c>
      <c r="GN9" t="e">
        <f>IF('Data '!#REF!,"AAAAAF/z/sM=",0)</f>
        <v>#REF!</v>
      </c>
      <c r="GO9" t="e">
        <f>IF('Data '!#REF!,"AAAAAF/z/sQ=",0)</f>
        <v>#REF!</v>
      </c>
      <c r="GP9" t="e">
        <f>IF('Data '!#REF!,"AAAAAF/z/sU=",0)</f>
        <v>#REF!</v>
      </c>
      <c r="GQ9" t="e">
        <f>IF('Data '!#REF!,"AAAAAF/z/sY=",0)</f>
        <v>#REF!</v>
      </c>
      <c r="GR9" t="e">
        <f>IF('Data '!#REF!,"AAAAAF/z/sc=",0)</f>
        <v>#REF!</v>
      </c>
      <c r="GS9" t="e">
        <f>IF('Data '!#REF!,"AAAAAF/z/sg=",0)</f>
        <v>#REF!</v>
      </c>
      <c r="GT9">
        <f>IF('Passenger Vehicle'!1:1,"AAAAAF/z/sk=",0)</f>
        <v>0</v>
      </c>
      <c r="GU9" t="e">
        <f>AND('Passenger Vehicle'!B1,"AAAAAF/z/so=")</f>
        <v>#VALUE!</v>
      </c>
      <c r="GV9" t="e">
        <f>AND('Passenger Vehicle'!C1,"AAAAAF/z/ss=")</f>
        <v>#VALUE!</v>
      </c>
      <c r="GW9" t="e">
        <f>AND('Passenger Vehicle'!D1,"AAAAAF/z/sw=")</f>
        <v>#VALUE!</v>
      </c>
      <c r="GX9" t="e">
        <f>AND('Passenger Vehicle'!E1,"AAAAAF/z/s0=")</f>
        <v>#VALUE!</v>
      </c>
      <c r="GY9" t="e">
        <f>AND('Passenger Vehicle'!F1,"AAAAAF/z/s4=")</f>
        <v>#VALUE!</v>
      </c>
      <c r="GZ9" t="e">
        <f>AND('Passenger Vehicle'!G1,"AAAAAF/z/s8=")</f>
        <v>#VALUE!</v>
      </c>
      <c r="HA9" t="e">
        <f>AND('Passenger Vehicle'!H1,"AAAAAF/z/tA=")</f>
        <v>#VALUE!</v>
      </c>
      <c r="HB9" t="e">
        <f>AND('Passenger Vehicle'!I1,"AAAAAF/z/tE=")</f>
        <v>#VALUE!</v>
      </c>
      <c r="HC9" t="e">
        <f>AND('Passenger Vehicle'!J1,"AAAAAF/z/tI=")</f>
        <v>#VALUE!</v>
      </c>
      <c r="HD9" t="e">
        <f>AND('Passenger Vehicle'!K1,"AAAAAF/z/tM=")</f>
        <v>#VALUE!</v>
      </c>
      <c r="HE9" t="e">
        <f>AND('Passenger Vehicle'!L1,"AAAAAF/z/tQ=")</f>
        <v>#VALUE!</v>
      </c>
      <c r="HF9" t="e">
        <f>AND('Passenger Vehicle'!M1,"AAAAAF/z/tU=")</f>
        <v>#VALUE!</v>
      </c>
      <c r="HG9" t="e">
        <f>AND('Passenger Vehicle'!N1,"AAAAAF/z/tY=")</f>
        <v>#VALUE!</v>
      </c>
      <c r="HH9" t="e">
        <f>AND('Passenger Vehicle'!O1,"AAAAAF/z/tc=")</f>
        <v>#VALUE!</v>
      </c>
      <c r="HI9" t="e">
        <f>AND('Passenger Vehicle'!P1,"AAAAAF/z/tg=")</f>
        <v>#VALUE!</v>
      </c>
      <c r="HJ9" t="e">
        <f>AND('Passenger Vehicle'!Q1,"AAAAAF/z/tk=")</f>
        <v>#VALUE!</v>
      </c>
      <c r="HK9" t="e">
        <f>AND('Passenger Vehicle'!R1,"AAAAAF/z/to=")</f>
        <v>#VALUE!</v>
      </c>
      <c r="HL9" t="e">
        <f>AND('Passenger Vehicle'!S1,"AAAAAF/z/ts=")</f>
        <v>#VALUE!</v>
      </c>
      <c r="HM9" t="e">
        <f>AND('Passenger Vehicle'!T1,"AAAAAF/z/tw=")</f>
        <v>#VALUE!</v>
      </c>
      <c r="HN9" t="e">
        <f>AND('Passenger Vehicle'!U1,"AAAAAF/z/t0=")</f>
        <v>#VALUE!</v>
      </c>
      <c r="HO9" t="e">
        <f>AND('Passenger Vehicle'!V1,"AAAAAF/z/t4=")</f>
        <v>#VALUE!</v>
      </c>
      <c r="HP9" t="e">
        <f>AND('Passenger Vehicle'!W1,"AAAAAF/z/t8=")</f>
        <v>#VALUE!</v>
      </c>
      <c r="HQ9" t="e">
        <f>AND('Passenger Vehicle'!X1,"AAAAAF/z/uA=")</f>
        <v>#VALUE!</v>
      </c>
      <c r="HR9" t="e">
        <f>AND('Passenger Vehicle'!Y1,"AAAAAF/z/uE=")</f>
        <v>#VALUE!</v>
      </c>
      <c r="HS9" t="e">
        <f>AND('Passenger Vehicle'!Z1,"AAAAAF/z/uI=")</f>
        <v>#VALUE!</v>
      </c>
      <c r="HT9" t="e">
        <f>AND('Passenger Vehicle'!AA1,"AAAAAF/z/uM=")</f>
        <v>#VALUE!</v>
      </c>
      <c r="HU9" t="e">
        <f>AND('Passenger Vehicle'!AB1,"AAAAAF/z/uQ=")</f>
        <v>#VALUE!</v>
      </c>
      <c r="HV9" t="e">
        <f>AND('Passenger Vehicle'!AC1,"AAAAAF/z/uU=")</f>
        <v>#VALUE!</v>
      </c>
      <c r="HW9" t="e">
        <f>AND('Passenger Vehicle'!AD1,"AAAAAF/z/uY=")</f>
        <v>#VALUE!</v>
      </c>
      <c r="HX9" t="e">
        <f>AND('Passenger Vehicle'!AE1,"AAAAAF/z/uc=")</f>
        <v>#VALUE!</v>
      </c>
      <c r="HY9">
        <f>IF('Passenger Vehicle'!2:2,"AAAAAF/z/ug=",0)</f>
        <v>0</v>
      </c>
      <c r="HZ9" t="e">
        <f>AND('Passenger Vehicle'!B2,"AAAAAF/z/uk=")</f>
        <v>#VALUE!</v>
      </c>
      <c r="IA9" t="e">
        <f>AND('Passenger Vehicle'!C2,"AAAAAF/z/uo=")</f>
        <v>#VALUE!</v>
      </c>
      <c r="IB9" t="e">
        <f>AND('Passenger Vehicle'!D2,"AAAAAF/z/us=")</f>
        <v>#VALUE!</v>
      </c>
      <c r="IC9" t="e">
        <f>AND('Passenger Vehicle'!E2,"AAAAAF/z/uw=")</f>
        <v>#VALUE!</v>
      </c>
      <c r="ID9" t="e">
        <f>AND('Passenger Vehicle'!F2,"AAAAAF/z/u0=")</f>
        <v>#VALUE!</v>
      </c>
      <c r="IE9" t="e">
        <f>AND('Passenger Vehicle'!G2,"AAAAAF/z/u4=")</f>
        <v>#VALUE!</v>
      </c>
      <c r="IF9" t="e">
        <f>AND('Passenger Vehicle'!H2,"AAAAAF/z/u8=")</f>
        <v>#VALUE!</v>
      </c>
      <c r="IG9" t="e">
        <f>AND('Passenger Vehicle'!I2,"AAAAAF/z/vA=")</f>
        <v>#VALUE!</v>
      </c>
      <c r="IH9" t="e">
        <f>AND('Passenger Vehicle'!J2,"AAAAAF/z/vE=")</f>
        <v>#VALUE!</v>
      </c>
      <c r="II9" t="e">
        <f>AND('Passenger Vehicle'!K2,"AAAAAF/z/vI=")</f>
        <v>#VALUE!</v>
      </c>
      <c r="IJ9" t="e">
        <f>AND('Passenger Vehicle'!L2,"AAAAAF/z/vM=")</f>
        <v>#VALUE!</v>
      </c>
      <c r="IK9" t="e">
        <f>AND('Passenger Vehicle'!M2,"AAAAAF/z/vQ=")</f>
        <v>#VALUE!</v>
      </c>
      <c r="IL9" t="e">
        <f>AND('Passenger Vehicle'!N2,"AAAAAF/z/vU=")</f>
        <v>#VALUE!</v>
      </c>
      <c r="IM9" t="e">
        <f>AND('Passenger Vehicle'!O2,"AAAAAF/z/vY=")</f>
        <v>#VALUE!</v>
      </c>
      <c r="IN9" t="e">
        <f>AND('Passenger Vehicle'!P2,"AAAAAF/z/vc=")</f>
        <v>#VALUE!</v>
      </c>
      <c r="IO9" t="e">
        <f>AND('Passenger Vehicle'!Q2,"AAAAAF/z/vg=")</f>
        <v>#VALUE!</v>
      </c>
      <c r="IP9" t="e">
        <f>AND('Passenger Vehicle'!R2,"AAAAAF/z/vk=")</f>
        <v>#VALUE!</v>
      </c>
      <c r="IQ9" t="e">
        <f>AND('Passenger Vehicle'!S2,"AAAAAF/z/vo=")</f>
        <v>#VALUE!</v>
      </c>
      <c r="IR9" t="e">
        <f>AND('Passenger Vehicle'!T2,"AAAAAF/z/vs=")</f>
        <v>#VALUE!</v>
      </c>
      <c r="IS9" t="e">
        <f>AND('Passenger Vehicle'!U2,"AAAAAF/z/vw=")</f>
        <v>#VALUE!</v>
      </c>
      <c r="IT9" t="e">
        <f>AND('Passenger Vehicle'!V2,"AAAAAF/z/v0=")</f>
        <v>#VALUE!</v>
      </c>
      <c r="IU9" t="e">
        <f>AND('Passenger Vehicle'!W2,"AAAAAF/z/v4=")</f>
        <v>#VALUE!</v>
      </c>
      <c r="IV9" t="e">
        <f>AND('Passenger Vehicle'!X2,"AAAAAF/z/v8=")</f>
        <v>#VALUE!</v>
      </c>
    </row>
    <row r="10" spans="1:256" x14ac:dyDescent="0.25">
      <c r="A10" t="e">
        <f>AND('Passenger Vehicle'!Y2,"AAAAAGb/3wA=")</f>
        <v>#VALUE!</v>
      </c>
      <c r="B10" t="e">
        <f>AND('Passenger Vehicle'!Z2,"AAAAAGb/3wE=")</f>
        <v>#VALUE!</v>
      </c>
      <c r="C10" t="e">
        <f>AND('Passenger Vehicle'!AA2,"AAAAAGb/3wI=")</f>
        <v>#VALUE!</v>
      </c>
      <c r="D10" t="e">
        <f>AND('Passenger Vehicle'!AB2,"AAAAAGb/3wM=")</f>
        <v>#VALUE!</v>
      </c>
      <c r="E10" t="e">
        <f>AND('Passenger Vehicle'!AC2,"AAAAAGb/3wQ=")</f>
        <v>#VALUE!</v>
      </c>
      <c r="F10" t="e">
        <f>AND('Passenger Vehicle'!AD2,"AAAAAGb/3wU=")</f>
        <v>#VALUE!</v>
      </c>
      <c r="G10" t="e">
        <f>AND('Passenger Vehicle'!AE2,"AAAAAGb/3wY=")</f>
        <v>#VALUE!</v>
      </c>
      <c r="H10">
        <f>IF('Passenger Vehicle'!3:3,"AAAAAGb/3wc=",0)</f>
        <v>0</v>
      </c>
      <c r="I10" t="e">
        <f>AND('Passenger Vehicle'!B3,"AAAAAGb/3wg=")</f>
        <v>#VALUE!</v>
      </c>
      <c r="J10">
        <f>IF('Passenger Vehicle'!4:4,"AAAAAGb/3wk=",0)</f>
        <v>0</v>
      </c>
      <c r="K10" t="e">
        <f>AND('Passenger Vehicle'!B4,"AAAAAGb/3wo=")</f>
        <v>#VALUE!</v>
      </c>
      <c r="L10">
        <f>IF('Passenger Vehicle'!5:5,"AAAAAGb/3ws=",0)</f>
        <v>0</v>
      </c>
      <c r="M10" t="e">
        <f>AND('Passenger Vehicle'!B5,"AAAAAGb/3ww=")</f>
        <v>#VALUE!</v>
      </c>
      <c r="N10">
        <f>IF('Passenger Vehicle'!6:6,"AAAAAGb/3w0=",0)</f>
        <v>0</v>
      </c>
      <c r="O10" t="e">
        <f>AND('Passenger Vehicle'!B6,"AAAAAGb/3w4=")</f>
        <v>#VALUE!</v>
      </c>
      <c r="P10">
        <f>IF('Passenger Vehicle'!7:7,"AAAAAGb/3w8=",0)</f>
        <v>0</v>
      </c>
      <c r="Q10" t="e">
        <f>AND('Passenger Vehicle'!B7,"AAAAAGb/3xA=")</f>
        <v>#VALUE!</v>
      </c>
      <c r="R10">
        <f>IF('Passenger Vehicle'!8:8,"AAAAAGb/3xE=",0)</f>
        <v>0</v>
      </c>
      <c r="S10" t="e">
        <f>AND('Passenger Vehicle'!B8,"AAAAAGb/3xI=")</f>
        <v>#VALUE!</v>
      </c>
      <c r="T10">
        <f>IF('Passenger Vehicle'!9:9,"AAAAAGb/3xM=",0)</f>
        <v>0</v>
      </c>
      <c r="U10" t="e">
        <f>AND('Passenger Vehicle'!B9,"AAAAAGb/3xQ=")</f>
        <v>#VALUE!</v>
      </c>
      <c r="V10">
        <f>IF('Passenger Vehicle'!10:10,"AAAAAGb/3xU=",0)</f>
        <v>0</v>
      </c>
      <c r="W10" t="e">
        <f>AND('Passenger Vehicle'!B10,"AAAAAGb/3xY=")</f>
        <v>#VALUE!</v>
      </c>
      <c r="X10">
        <f>IF('Passenger Vehicle'!11:11,"AAAAAGb/3xc=",0)</f>
        <v>0</v>
      </c>
      <c r="Y10" t="e">
        <f>AND('Passenger Vehicle'!B11,"AAAAAGb/3xg=")</f>
        <v>#VALUE!</v>
      </c>
      <c r="Z10">
        <f>IF('Passenger Vehicle'!12:12,"AAAAAGb/3xk=",0)</f>
        <v>0</v>
      </c>
      <c r="AA10" t="e">
        <f>AND('Passenger Vehicle'!B12,"AAAAAGb/3xo=")</f>
        <v>#VALUE!</v>
      </c>
      <c r="AB10">
        <f>IF('Passenger Vehicle'!13:13,"AAAAAGb/3xs=",0)</f>
        <v>0</v>
      </c>
      <c r="AC10" t="e">
        <f>AND('Passenger Vehicle'!B13,"AAAAAGb/3xw=")</f>
        <v>#VALUE!</v>
      </c>
      <c r="AD10">
        <f>IF('Passenger Vehicle'!14:14,"AAAAAGb/3x0=",0)</f>
        <v>0</v>
      </c>
      <c r="AE10" t="e">
        <f>AND('Passenger Vehicle'!B14,"AAAAAGb/3x4=")</f>
        <v>#VALUE!</v>
      </c>
      <c r="AF10">
        <f>IF('Passenger Vehicle'!15:15,"AAAAAGb/3x8=",0)</f>
        <v>0</v>
      </c>
      <c r="AG10" t="e">
        <f>AND('Passenger Vehicle'!B15,"AAAAAGb/3yA=")</f>
        <v>#VALUE!</v>
      </c>
      <c r="AH10">
        <f>IF('Passenger Vehicle'!16:16,"AAAAAGb/3yE=",0)</f>
        <v>0</v>
      </c>
      <c r="AI10" t="e">
        <f>AND('Passenger Vehicle'!B16,"AAAAAGb/3yI=")</f>
        <v>#VALUE!</v>
      </c>
      <c r="AJ10">
        <f>IF('Passenger Vehicle'!17:17,"AAAAAGb/3yM=",0)</f>
        <v>0</v>
      </c>
      <c r="AK10" t="e">
        <f>AND('Passenger Vehicle'!B17,"AAAAAGb/3yQ=")</f>
        <v>#VALUE!</v>
      </c>
      <c r="AL10">
        <f>IF('Passenger Vehicle'!18:18,"AAAAAGb/3yU=",0)</f>
        <v>0</v>
      </c>
      <c r="AM10" t="e">
        <f>AND('Passenger Vehicle'!B18,"AAAAAGb/3yY=")</f>
        <v>#VALUE!</v>
      </c>
      <c r="AN10">
        <f>IF('Passenger Vehicle'!19:19,"AAAAAGb/3yc=",0)</f>
        <v>0</v>
      </c>
      <c r="AO10" t="e">
        <f>AND('Passenger Vehicle'!B19,"AAAAAGb/3yg=")</f>
        <v>#VALUE!</v>
      </c>
      <c r="AP10">
        <f>IF('Passenger Vehicle'!20:20,"AAAAAGb/3yk=",0)</f>
        <v>0</v>
      </c>
      <c r="AQ10" t="e">
        <f>AND('Passenger Vehicle'!B20,"AAAAAGb/3yo=")</f>
        <v>#VALUE!</v>
      </c>
      <c r="AR10">
        <f>IF('Passenger Vehicle'!21:21,"AAAAAGb/3ys=",0)</f>
        <v>0</v>
      </c>
      <c r="AS10" t="e">
        <f>AND('Passenger Vehicle'!B21,"AAAAAGb/3yw=")</f>
        <v>#VALUE!</v>
      </c>
      <c r="AT10">
        <f>IF('Passenger Vehicle'!22:22,"AAAAAGb/3y0=",0)</f>
        <v>0</v>
      </c>
      <c r="AU10" t="e">
        <f>AND('Passenger Vehicle'!B22,"AAAAAGb/3y4=")</f>
        <v>#VALUE!</v>
      </c>
      <c r="AV10">
        <f>IF('Passenger Vehicle'!23:23,"AAAAAGb/3y8=",0)</f>
        <v>0</v>
      </c>
      <c r="AW10" t="e">
        <f>AND('Passenger Vehicle'!B23,"AAAAAGb/3zA=")</f>
        <v>#VALUE!</v>
      </c>
      <c r="AX10">
        <f>IF('Passenger Vehicle'!24:24,"AAAAAGb/3zE=",0)</f>
        <v>0</v>
      </c>
      <c r="AY10" t="e">
        <f>AND('Passenger Vehicle'!B24,"AAAAAGb/3zI=")</f>
        <v>#VALUE!</v>
      </c>
      <c r="AZ10">
        <f>IF('Passenger Vehicle'!25:25,"AAAAAGb/3zM=",0)</f>
        <v>0</v>
      </c>
      <c r="BA10" t="e">
        <f>AND('Passenger Vehicle'!B25,"AAAAAGb/3zQ=")</f>
        <v>#VALUE!</v>
      </c>
      <c r="BB10">
        <f>IF('Passenger Vehicle'!26:26,"AAAAAGb/3zU=",0)</f>
        <v>0</v>
      </c>
      <c r="BC10" t="e">
        <f>AND('Passenger Vehicle'!B26,"AAAAAGb/3zY=")</f>
        <v>#VALUE!</v>
      </c>
      <c r="BD10">
        <f>IF('Passenger Vehicle'!27:27,"AAAAAGb/3zc=",0)</f>
        <v>0</v>
      </c>
      <c r="BE10" t="e">
        <f>AND('Passenger Vehicle'!B27,"AAAAAGb/3zg=")</f>
        <v>#VALUE!</v>
      </c>
      <c r="BF10">
        <f>IF('Passenger Vehicle'!28:28,"AAAAAGb/3zk=",0)</f>
        <v>0</v>
      </c>
      <c r="BG10" t="e">
        <f>AND('Passenger Vehicle'!B28,"AAAAAGb/3zo=")</f>
        <v>#VALUE!</v>
      </c>
      <c r="BH10">
        <f>IF('Passenger Vehicle'!29:29,"AAAAAGb/3zs=",0)</f>
        <v>0</v>
      </c>
      <c r="BI10" t="e">
        <f>AND('Passenger Vehicle'!B29,"AAAAAGb/3zw=")</f>
        <v>#VALUE!</v>
      </c>
      <c r="BJ10">
        <f>IF('Passenger Vehicle'!30:30,"AAAAAGb/3z0=",0)</f>
        <v>0</v>
      </c>
      <c r="BK10" t="e">
        <f>AND('Passenger Vehicle'!B30,"AAAAAGb/3z4=")</f>
        <v>#VALUE!</v>
      </c>
      <c r="BL10">
        <f>IF('Passenger Vehicle'!31:31,"AAAAAGb/3z8=",0)</f>
        <v>0</v>
      </c>
      <c r="BM10" t="e">
        <f>AND('Passenger Vehicle'!B31,"AAAAAGb/30A=")</f>
        <v>#VALUE!</v>
      </c>
      <c r="BN10">
        <f>IF('Passenger Vehicle'!32:32,"AAAAAGb/30E=",0)</f>
        <v>0</v>
      </c>
      <c r="BO10" t="e">
        <f>AND('Passenger Vehicle'!B32,"AAAAAGb/30I=")</f>
        <v>#VALUE!</v>
      </c>
      <c r="BP10">
        <f>IF('Passenger Vehicle'!33:33,"AAAAAGb/30M=",0)</f>
        <v>0</v>
      </c>
      <c r="BQ10" t="e">
        <f>AND('Passenger Vehicle'!B33,"AAAAAGb/30Q=")</f>
        <v>#VALUE!</v>
      </c>
      <c r="BR10">
        <f>IF('Passenger Vehicle'!34:34,"AAAAAGb/30U=",0)</f>
        <v>0</v>
      </c>
      <c r="BS10" t="e">
        <f>AND('Passenger Vehicle'!B34,"AAAAAGb/30Y=")</f>
        <v>#VALUE!</v>
      </c>
      <c r="BT10">
        <f>IF('Passenger Vehicle'!35:35,"AAAAAGb/30c=",0)</f>
        <v>0</v>
      </c>
      <c r="BU10" t="e">
        <f>AND('Passenger Vehicle'!B35,"AAAAAGb/30g=")</f>
        <v>#VALUE!</v>
      </c>
      <c r="BV10">
        <f>IF('Passenger Vehicle'!36:36,"AAAAAGb/30k=",0)</f>
        <v>0</v>
      </c>
      <c r="BW10" t="e">
        <f>AND('Passenger Vehicle'!B36,"AAAAAGb/30o=")</f>
        <v>#VALUE!</v>
      </c>
      <c r="BX10">
        <f>IF('Passenger Vehicle'!37:37,"AAAAAGb/30s=",0)</f>
        <v>0</v>
      </c>
      <c r="BY10" t="e">
        <f>AND('Passenger Vehicle'!B37,"AAAAAGb/30w=")</f>
        <v>#VALUE!</v>
      </c>
      <c r="BZ10">
        <f>IF('Passenger Vehicle'!38:38,"AAAAAGb/300=",0)</f>
        <v>0</v>
      </c>
      <c r="CA10" t="e">
        <f>AND('Passenger Vehicle'!B38,"AAAAAGb/304=")</f>
        <v>#VALUE!</v>
      </c>
      <c r="CB10">
        <f>IF('Passenger Vehicle'!39:39,"AAAAAGb/308=",0)</f>
        <v>0</v>
      </c>
      <c r="CC10" t="e">
        <f>AND('Passenger Vehicle'!B39,"AAAAAGb/31A=")</f>
        <v>#VALUE!</v>
      </c>
      <c r="CD10">
        <f>IF('Passenger Vehicle'!40:40,"AAAAAGb/31E=",0)</f>
        <v>0</v>
      </c>
      <c r="CE10" t="e">
        <f>AND('Passenger Vehicle'!B40,"AAAAAGb/31I=")</f>
        <v>#VALUE!</v>
      </c>
      <c r="CF10">
        <f>IF('Passenger Vehicle'!41:41,"AAAAAGb/31M=",0)</f>
        <v>0</v>
      </c>
      <c r="CG10" t="e">
        <f>AND('Passenger Vehicle'!B41,"AAAAAGb/31Q=")</f>
        <v>#VALUE!</v>
      </c>
      <c r="CH10">
        <f>IF('Passenger Vehicle'!42:42,"AAAAAGb/31U=",0)</f>
        <v>0</v>
      </c>
      <c r="CI10" t="e">
        <f>AND('Passenger Vehicle'!B42,"AAAAAGb/31Y=")</f>
        <v>#VALUE!</v>
      </c>
      <c r="CJ10">
        <f>IF('Passenger Vehicle'!43:43,"AAAAAGb/31c=",0)</f>
        <v>0</v>
      </c>
      <c r="CK10" t="e">
        <f>AND('Passenger Vehicle'!B43,"AAAAAGb/31g=")</f>
        <v>#VALUE!</v>
      </c>
      <c r="CL10">
        <f>IF('Passenger Vehicle'!44:44,"AAAAAGb/31k=",0)</f>
        <v>0</v>
      </c>
      <c r="CM10" t="e">
        <f>AND('Passenger Vehicle'!B44,"AAAAAGb/31o=")</f>
        <v>#VALUE!</v>
      </c>
      <c r="CN10">
        <f>IF('Passenger Vehicle'!45:45,"AAAAAGb/31s=",0)</f>
        <v>0</v>
      </c>
      <c r="CO10" t="e">
        <f>AND('Passenger Vehicle'!B45,"AAAAAGb/31w=")</f>
        <v>#VALUE!</v>
      </c>
      <c r="CP10">
        <f>IF('Passenger Vehicle'!46:46,"AAAAAGb/310=",0)</f>
        <v>0</v>
      </c>
      <c r="CQ10" t="e">
        <f>AND('Passenger Vehicle'!B46,"AAAAAGb/314=")</f>
        <v>#VALUE!</v>
      </c>
      <c r="CR10">
        <f>IF('Passenger Vehicle'!47:47,"AAAAAGb/318=",0)</f>
        <v>0</v>
      </c>
      <c r="CS10" t="e">
        <f>AND('Passenger Vehicle'!B47,"AAAAAGb/32A=")</f>
        <v>#VALUE!</v>
      </c>
      <c r="CT10">
        <f>IF('Passenger Vehicle'!48:48,"AAAAAGb/32E=",0)</f>
        <v>0</v>
      </c>
      <c r="CU10" t="e">
        <f>AND('Passenger Vehicle'!B48,"AAAAAGb/32I=")</f>
        <v>#VALUE!</v>
      </c>
      <c r="CV10">
        <f>IF('Passenger Vehicle'!49:49,"AAAAAGb/32M=",0)</f>
        <v>0</v>
      </c>
      <c r="CW10" t="e">
        <f>AND('Passenger Vehicle'!B49,"AAAAAGb/32Q=")</f>
        <v>#VALUE!</v>
      </c>
      <c r="CX10">
        <f>IF('Passenger Vehicle'!50:50,"AAAAAGb/32U=",0)</f>
        <v>0</v>
      </c>
      <c r="CY10" t="e">
        <f>AND('Passenger Vehicle'!B50,"AAAAAGb/32Y=")</f>
        <v>#VALUE!</v>
      </c>
      <c r="CZ10">
        <f>IF('Passenger Vehicle'!51:51,"AAAAAGb/32c=",0)</f>
        <v>0</v>
      </c>
      <c r="DA10" t="e">
        <f>AND('Passenger Vehicle'!B51,"AAAAAGb/32g=")</f>
        <v>#VALUE!</v>
      </c>
      <c r="DB10">
        <f>IF('Passenger Vehicle'!52:52,"AAAAAGb/32k=",0)</f>
        <v>0</v>
      </c>
      <c r="DC10" t="e">
        <f>AND('Passenger Vehicle'!B52,"AAAAAGb/32o=")</f>
        <v>#VALUE!</v>
      </c>
      <c r="DD10">
        <f>IF('Passenger Vehicle'!53:53,"AAAAAGb/32s=",0)</f>
        <v>0</v>
      </c>
      <c r="DE10" t="e">
        <f>AND('Passenger Vehicle'!B53,"AAAAAGb/32w=")</f>
        <v>#VALUE!</v>
      </c>
      <c r="DF10">
        <f>IF('Passenger Vehicle'!54:54,"AAAAAGb/320=",0)</f>
        <v>0</v>
      </c>
      <c r="DG10" t="e">
        <f>AND('Passenger Vehicle'!B54,"AAAAAGb/324=")</f>
        <v>#VALUE!</v>
      </c>
      <c r="DH10">
        <f>IF('Passenger Vehicle'!55:55,"AAAAAGb/328=",0)</f>
        <v>0</v>
      </c>
      <c r="DI10" t="e">
        <f>AND('Passenger Vehicle'!B55,"AAAAAGb/33A=")</f>
        <v>#VALUE!</v>
      </c>
      <c r="DJ10">
        <f>IF('Passenger Vehicle'!56:56,"AAAAAGb/33E=",0)</f>
        <v>0</v>
      </c>
      <c r="DK10" t="e">
        <f>AND('Passenger Vehicle'!B56,"AAAAAGb/33I=")</f>
        <v>#VALUE!</v>
      </c>
      <c r="DL10">
        <f>IF('Passenger Vehicle'!57:57,"AAAAAGb/33M=",0)</f>
        <v>0</v>
      </c>
      <c r="DM10" t="e">
        <f>AND('Passenger Vehicle'!B57,"AAAAAGb/33Q=")</f>
        <v>#VALUE!</v>
      </c>
      <c r="DN10">
        <f>IF('Passenger Vehicle'!58:58,"AAAAAGb/33U=",0)</f>
        <v>0</v>
      </c>
      <c r="DO10" t="e">
        <f>AND('Passenger Vehicle'!B58,"AAAAAGb/33Y=")</f>
        <v>#VALUE!</v>
      </c>
      <c r="DP10">
        <f>IF('Passenger Vehicle'!59:59,"AAAAAGb/33c=",0)</f>
        <v>0</v>
      </c>
      <c r="DQ10" t="e">
        <f>AND('Passenger Vehicle'!B59,"AAAAAGb/33g=")</f>
        <v>#VALUE!</v>
      </c>
      <c r="DR10">
        <f>IF('Passenger Vehicle'!60:60,"AAAAAGb/33k=",0)</f>
        <v>0</v>
      </c>
      <c r="DS10" t="e">
        <f>AND('Passenger Vehicle'!B60,"AAAAAGb/33o=")</f>
        <v>#VALUE!</v>
      </c>
      <c r="DT10">
        <f>IF('Passenger Vehicle'!61:61,"AAAAAGb/33s=",0)</f>
        <v>0</v>
      </c>
      <c r="DU10" t="e">
        <f>AND('Passenger Vehicle'!B61,"AAAAAGb/33w=")</f>
        <v>#VALUE!</v>
      </c>
      <c r="DV10">
        <f>IF('Passenger Vehicle'!62:62,"AAAAAGb/330=",0)</f>
        <v>0</v>
      </c>
      <c r="DW10" t="e">
        <f>AND('Passenger Vehicle'!B62,"AAAAAGb/334=")</f>
        <v>#VALUE!</v>
      </c>
      <c r="DX10">
        <f>IF('Passenger Vehicle'!63:63,"AAAAAGb/338=",0)</f>
        <v>0</v>
      </c>
      <c r="DY10" t="e">
        <f>AND('Passenger Vehicle'!B63,"AAAAAGb/34A=")</f>
        <v>#VALUE!</v>
      </c>
      <c r="DZ10">
        <f>IF('Passenger Vehicle'!64:64,"AAAAAGb/34E=",0)</f>
        <v>0</v>
      </c>
      <c r="EA10" t="e">
        <f>AND('Passenger Vehicle'!B64,"AAAAAGb/34I=")</f>
        <v>#VALUE!</v>
      </c>
      <c r="EB10">
        <f>IF('Passenger Vehicle'!65:65,"AAAAAGb/34M=",0)</f>
        <v>0</v>
      </c>
      <c r="EC10" t="e">
        <f>AND('Passenger Vehicle'!B65,"AAAAAGb/34Q=")</f>
        <v>#VALUE!</v>
      </c>
      <c r="ED10">
        <f>IF('Passenger Vehicle'!66:66,"AAAAAGb/34U=",0)</f>
        <v>0</v>
      </c>
      <c r="EE10" t="e">
        <f>AND('Passenger Vehicle'!B66,"AAAAAGb/34Y=")</f>
        <v>#VALUE!</v>
      </c>
      <c r="EF10">
        <f>IF('Passenger Vehicle'!67:67,"AAAAAGb/34c=",0)</f>
        <v>0</v>
      </c>
      <c r="EG10" t="e">
        <f>AND('Passenger Vehicle'!B67,"AAAAAGb/34g=")</f>
        <v>#VALUE!</v>
      </c>
      <c r="EH10">
        <f>IF('Passenger Vehicle'!68:68,"AAAAAGb/34k=",0)</f>
        <v>0</v>
      </c>
      <c r="EI10" t="e">
        <f>AND('Passenger Vehicle'!B68,"AAAAAGb/34o=")</f>
        <v>#VALUE!</v>
      </c>
      <c r="EJ10">
        <f>IF('Passenger Vehicle'!69:69,"AAAAAGb/34s=",0)</f>
        <v>0</v>
      </c>
      <c r="EK10" t="e">
        <f>AND('Passenger Vehicle'!B69,"AAAAAGb/34w=")</f>
        <v>#VALUE!</v>
      </c>
      <c r="EL10">
        <f>IF('Passenger Vehicle'!70:70,"AAAAAGb/340=",0)</f>
        <v>0</v>
      </c>
      <c r="EM10" t="e">
        <f>AND('Passenger Vehicle'!B70,"AAAAAGb/344=")</f>
        <v>#VALUE!</v>
      </c>
      <c r="EN10">
        <f>IF('Passenger Vehicle'!71:71,"AAAAAGb/348=",0)</f>
        <v>0</v>
      </c>
      <c r="EO10" t="e">
        <f>AND('Passenger Vehicle'!B71,"AAAAAGb/35A=")</f>
        <v>#VALUE!</v>
      </c>
      <c r="EP10">
        <f>IF('Passenger Vehicle'!72:72,"AAAAAGb/35E=",0)</f>
        <v>0</v>
      </c>
      <c r="EQ10" t="e">
        <f>AND('Passenger Vehicle'!B72,"AAAAAGb/35I=")</f>
        <v>#VALUE!</v>
      </c>
      <c r="ER10">
        <f>IF('Passenger Vehicle'!73:73,"AAAAAGb/35M=",0)</f>
        <v>0</v>
      </c>
      <c r="ES10" t="e">
        <f>AND('Passenger Vehicle'!B73,"AAAAAGb/35Q=")</f>
        <v>#VALUE!</v>
      </c>
      <c r="ET10">
        <f>IF('Passenger Vehicle'!74:74,"AAAAAGb/35U=",0)</f>
        <v>0</v>
      </c>
      <c r="EU10" t="e">
        <f>AND('Passenger Vehicle'!B74,"AAAAAGb/35Y=")</f>
        <v>#VALUE!</v>
      </c>
      <c r="EV10">
        <f>IF('Passenger Vehicle'!75:75,"AAAAAGb/35c=",0)</f>
        <v>0</v>
      </c>
      <c r="EW10" t="e">
        <f>AND('Passenger Vehicle'!B75,"AAAAAGb/35g=")</f>
        <v>#VALUE!</v>
      </c>
      <c r="EX10">
        <f>IF('Passenger Vehicle'!76:76,"AAAAAGb/35k=",0)</f>
        <v>0</v>
      </c>
      <c r="EY10" t="e">
        <f>AND('Passenger Vehicle'!B76,"AAAAAGb/35o=")</f>
        <v>#VALUE!</v>
      </c>
      <c r="EZ10">
        <f>IF('Passenger Vehicle'!77:77,"AAAAAGb/35s=",0)</f>
        <v>0</v>
      </c>
      <c r="FA10" t="e">
        <f>AND('Passenger Vehicle'!B77,"AAAAAGb/35w=")</f>
        <v>#VALUE!</v>
      </c>
      <c r="FB10">
        <f>IF('Passenger Vehicle'!78:78,"AAAAAGb/350=",0)</f>
        <v>0</v>
      </c>
      <c r="FC10" t="e">
        <f>AND('Passenger Vehicle'!B78,"AAAAAGb/354=")</f>
        <v>#VALUE!</v>
      </c>
      <c r="FD10">
        <f>IF('Passenger Vehicle'!79:79,"AAAAAGb/358=",0)</f>
        <v>0</v>
      </c>
      <c r="FE10" t="e">
        <f>AND('Passenger Vehicle'!B79,"AAAAAGb/36A=")</f>
        <v>#VALUE!</v>
      </c>
      <c r="FF10">
        <f>IF('Passenger Vehicle'!80:80,"AAAAAGb/36E=",0)</f>
        <v>0</v>
      </c>
      <c r="FG10" t="e">
        <f>AND('Passenger Vehicle'!B80,"AAAAAGb/36I=")</f>
        <v>#VALUE!</v>
      </c>
      <c r="FH10">
        <f>IF('Passenger Vehicle'!81:81,"AAAAAGb/36M=",0)</f>
        <v>0</v>
      </c>
      <c r="FI10" t="e">
        <f>AND('Passenger Vehicle'!B81,"AAAAAGb/36Q=")</f>
        <v>#VALUE!</v>
      </c>
      <c r="FJ10">
        <f>IF('Passenger Vehicle'!82:82,"AAAAAGb/36U=",0)</f>
        <v>0</v>
      </c>
      <c r="FK10" t="e">
        <f>AND('Passenger Vehicle'!B82,"AAAAAGb/36Y=")</f>
        <v>#VALUE!</v>
      </c>
      <c r="FL10">
        <f>IF('Passenger Vehicle'!83:83,"AAAAAGb/36c=",0)</f>
        <v>0</v>
      </c>
      <c r="FM10" t="e">
        <f>AND('Passenger Vehicle'!B83,"AAAAAGb/36g=")</f>
        <v>#VALUE!</v>
      </c>
      <c r="FN10">
        <f>IF('Passenger Vehicle'!84:84,"AAAAAGb/36k=",0)</f>
        <v>0</v>
      </c>
      <c r="FO10" t="e">
        <f>AND('Passenger Vehicle'!B84,"AAAAAGb/36o=")</f>
        <v>#VALUE!</v>
      </c>
      <c r="FP10">
        <f>IF('Passenger Vehicle'!85:85,"AAAAAGb/36s=",0)</f>
        <v>0</v>
      </c>
      <c r="FQ10" t="e">
        <f>AND('Passenger Vehicle'!B85,"AAAAAGb/36w=")</f>
        <v>#VALUE!</v>
      </c>
      <c r="FR10">
        <f>IF('Passenger Vehicle'!86:86,"AAAAAGb/360=",0)</f>
        <v>0</v>
      </c>
      <c r="FS10" t="e">
        <f>AND('Passenger Vehicle'!B86,"AAAAAGb/364=")</f>
        <v>#VALUE!</v>
      </c>
      <c r="FT10">
        <f>IF('Passenger Vehicle'!87:87,"AAAAAGb/368=",0)</f>
        <v>0</v>
      </c>
      <c r="FU10" t="e">
        <f>AND('Passenger Vehicle'!B87,"AAAAAGb/37A=")</f>
        <v>#VALUE!</v>
      </c>
      <c r="FV10">
        <f>IF('Passenger Vehicle'!88:88,"AAAAAGb/37E=",0)</f>
        <v>0</v>
      </c>
      <c r="FW10" t="e">
        <f>AND('Passenger Vehicle'!B88,"AAAAAGb/37I=")</f>
        <v>#VALUE!</v>
      </c>
      <c r="FX10">
        <f>IF('Passenger Vehicle'!89:89,"AAAAAGb/37M=",0)</f>
        <v>0</v>
      </c>
      <c r="FY10" t="e">
        <f>AND('Passenger Vehicle'!B89,"AAAAAGb/37Q=")</f>
        <v>#VALUE!</v>
      </c>
      <c r="FZ10">
        <f>IF('Passenger Vehicle'!90:90,"AAAAAGb/37U=",0)</f>
        <v>0</v>
      </c>
      <c r="GA10" t="e">
        <f>AND('Passenger Vehicle'!B90,"AAAAAGb/37Y=")</f>
        <v>#VALUE!</v>
      </c>
      <c r="GB10">
        <f>IF('Passenger Vehicle'!91:91,"AAAAAGb/37c=",0)</f>
        <v>0</v>
      </c>
      <c r="GC10" t="e">
        <f>AND('Passenger Vehicle'!B91,"AAAAAGb/37g=")</f>
        <v>#VALUE!</v>
      </c>
      <c r="GD10">
        <f>IF('Passenger Vehicle'!A:A,"AAAAAGb/37k=",0)</f>
        <v>0</v>
      </c>
      <c r="GE10">
        <f>IF('Passenger Vehicle'!B:B,"AAAAAGb/37o=",0)</f>
        <v>0</v>
      </c>
      <c r="GF10">
        <f>IF('Passenger Vehicle'!C:C,"AAAAAGb/37s=",0)</f>
        <v>0</v>
      </c>
      <c r="GG10">
        <f>IF('Passenger Vehicle'!D:D,"AAAAAGb/37w=",0)</f>
        <v>0</v>
      </c>
      <c r="GH10">
        <f>IF('Passenger Vehicle'!E:E,"AAAAAGb/370=",0)</f>
        <v>0</v>
      </c>
      <c r="GI10">
        <f>IF('Passenger Vehicle'!F:F,"AAAAAGb/374=",0)</f>
        <v>0</v>
      </c>
      <c r="GJ10">
        <f>IF('Passenger Vehicle'!G:G,"AAAAAGb/378=",0)</f>
        <v>0</v>
      </c>
      <c r="GK10">
        <f>IF('Passenger Vehicle'!H:H,"AAAAAGb/38A=",0)</f>
        <v>0</v>
      </c>
      <c r="GL10">
        <f>IF('Passenger Vehicle'!I:I,"AAAAAGb/38E=",0)</f>
        <v>0</v>
      </c>
      <c r="GM10">
        <f>IF('Passenger Vehicle'!J:J,"AAAAAGb/38I=",0)</f>
        <v>0</v>
      </c>
      <c r="GN10">
        <f>IF('Passenger Vehicle'!K:K,"AAAAAGb/38M=",0)</f>
        <v>0</v>
      </c>
      <c r="GO10">
        <f>IF('Passenger Vehicle'!L:L,"AAAAAGb/38Q=",0)</f>
        <v>0</v>
      </c>
      <c r="GP10">
        <f>IF('Passenger Vehicle'!M:M,"AAAAAGb/38U=",0)</f>
        <v>0</v>
      </c>
      <c r="GQ10">
        <f>IF('Passenger Vehicle'!N:N,"AAAAAGb/38Y=",0)</f>
        <v>0</v>
      </c>
      <c r="GR10">
        <f>IF('Passenger Vehicle'!O:O,"AAAAAGb/38c=",0)</f>
        <v>0</v>
      </c>
      <c r="GS10">
        <f>IF('Passenger Vehicle'!P:P,"AAAAAGb/38g=",0)</f>
        <v>0</v>
      </c>
      <c r="GT10">
        <f>IF('Passenger Vehicle'!Q:Q,"AAAAAGb/38k=",0)</f>
        <v>0</v>
      </c>
      <c r="GU10">
        <f>IF('Passenger Vehicle'!R:R,"AAAAAGb/38o=",0)</f>
        <v>0</v>
      </c>
      <c r="GV10">
        <f>IF('Passenger Vehicle'!S:S,"AAAAAGb/38s=",0)</f>
        <v>0</v>
      </c>
      <c r="GW10">
        <f>IF('Passenger Vehicle'!T:T,"AAAAAGb/38w=",0)</f>
        <v>0</v>
      </c>
      <c r="GX10">
        <f>IF('Passenger Vehicle'!U:U,"AAAAAGb/380=",0)</f>
        <v>0</v>
      </c>
      <c r="GY10">
        <f>IF('Passenger Vehicle'!V:V,"AAAAAGb/384=",0)</f>
        <v>0</v>
      </c>
      <c r="GZ10">
        <f>IF('Passenger Vehicle'!W:W,"AAAAAGb/388=",0)</f>
        <v>0</v>
      </c>
      <c r="HA10">
        <f>IF('Passenger Vehicle'!X:X,"AAAAAGb/39A=",0)</f>
        <v>0</v>
      </c>
      <c r="HB10">
        <f>IF('Passenger Vehicle'!Y:Y,"AAAAAGb/39E=",0)</f>
        <v>0</v>
      </c>
      <c r="HC10">
        <f>IF('Passenger Vehicle'!Z:Z,"AAAAAGb/39I=",0)</f>
        <v>0</v>
      </c>
      <c r="HD10">
        <f>IF('Passenger Vehicle'!AA:AA,"AAAAAGb/39M=",0)</f>
        <v>0</v>
      </c>
      <c r="HE10">
        <f>IF('Passenger Vehicle'!AB:AB,"AAAAAGb/39Q=",0)</f>
        <v>0</v>
      </c>
      <c r="HF10">
        <f>IF('Passenger Vehicle'!AC:AC,"AAAAAGb/39U=",0)</f>
        <v>0</v>
      </c>
      <c r="HG10">
        <f>IF('Passenger Vehicle'!AD:AD,"AAAAAGb/39Y=",0)</f>
        <v>0</v>
      </c>
      <c r="HH10">
        <f>IF('Passenger Vehicle'!AE:AE,"AAAAAGb/39c=",0)</f>
        <v>0</v>
      </c>
      <c r="HI10">
        <f>IF('Commercial Vehicle'!1:1,"AAAAAGb/39g=",0)</f>
        <v>0</v>
      </c>
      <c r="HJ10" t="e">
        <f>AND('Commercial Vehicle'!B1,"AAAAAGb/39k=")</f>
        <v>#VALUE!</v>
      </c>
      <c r="HK10" t="e">
        <f>AND('Commercial Vehicle'!C1,"AAAAAGb/39o=")</f>
        <v>#VALUE!</v>
      </c>
      <c r="HL10" t="e">
        <f>AND('Commercial Vehicle'!D1,"AAAAAGb/39s=")</f>
        <v>#VALUE!</v>
      </c>
      <c r="HM10" t="e">
        <f>AND('Commercial Vehicle'!E1,"AAAAAGb/39w=")</f>
        <v>#VALUE!</v>
      </c>
      <c r="HN10" t="e">
        <f>AND('Commercial Vehicle'!F1,"AAAAAGb/390=")</f>
        <v>#VALUE!</v>
      </c>
      <c r="HO10" t="e">
        <f>AND('Commercial Vehicle'!G1,"AAAAAGb/394=")</f>
        <v>#VALUE!</v>
      </c>
      <c r="HP10" t="e">
        <f>AND('Commercial Vehicle'!H1,"AAAAAGb/398=")</f>
        <v>#VALUE!</v>
      </c>
      <c r="HQ10" t="e">
        <f>AND('Commercial Vehicle'!I1,"AAAAAGb/3+A=")</f>
        <v>#VALUE!</v>
      </c>
      <c r="HR10" t="e">
        <f>AND('Commercial Vehicle'!J1,"AAAAAGb/3+E=")</f>
        <v>#VALUE!</v>
      </c>
      <c r="HS10" t="e">
        <f>AND('Commercial Vehicle'!K1,"AAAAAGb/3+I=")</f>
        <v>#VALUE!</v>
      </c>
      <c r="HT10" t="e">
        <f>AND('Commercial Vehicle'!L1,"AAAAAGb/3+M=")</f>
        <v>#VALUE!</v>
      </c>
      <c r="HU10" t="e">
        <f>AND('Commercial Vehicle'!M1,"AAAAAGb/3+Q=")</f>
        <v>#VALUE!</v>
      </c>
      <c r="HV10" t="e">
        <f>AND('Commercial Vehicle'!N1,"AAAAAGb/3+U=")</f>
        <v>#VALUE!</v>
      </c>
      <c r="HW10" t="e">
        <f>AND('Commercial Vehicle'!O1,"AAAAAGb/3+Y=")</f>
        <v>#VALUE!</v>
      </c>
      <c r="HX10" t="e">
        <f>AND('Commercial Vehicle'!P1,"AAAAAGb/3+c=")</f>
        <v>#VALUE!</v>
      </c>
      <c r="HY10" t="e">
        <f>AND('Commercial Vehicle'!Q1,"AAAAAGb/3+g=")</f>
        <v>#VALUE!</v>
      </c>
      <c r="HZ10" t="e">
        <f>AND('Commercial Vehicle'!R1,"AAAAAGb/3+k=")</f>
        <v>#VALUE!</v>
      </c>
      <c r="IA10" t="e">
        <f>AND('Commercial Vehicle'!S1,"AAAAAGb/3+o=")</f>
        <v>#VALUE!</v>
      </c>
      <c r="IB10" t="e">
        <f>AND('Commercial Vehicle'!T1,"AAAAAGb/3+s=")</f>
        <v>#VALUE!</v>
      </c>
      <c r="IC10" t="e">
        <f>AND('Commercial Vehicle'!U1,"AAAAAGb/3+w=")</f>
        <v>#VALUE!</v>
      </c>
      <c r="ID10" t="e">
        <f>AND('Commercial Vehicle'!V1,"AAAAAGb/3+0=")</f>
        <v>#VALUE!</v>
      </c>
      <c r="IE10" t="e">
        <f>AND('Commercial Vehicle'!W1,"AAAAAGb/3+4=")</f>
        <v>#VALUE!</v>
      </c>
      <c r="IF10" t="e">
        <f>AND('Commercial Vehicle'!X1,"AAAAAGb/3+8=")</f>
        <v>#VALUE!</v>
      </c>
      <c r="IG10" t="e">
        <f>AND('Commercial Vehicle'!Y1,"AAAAAGb/3/A=")</f>
        <v>#VALUE!</v>
      </c>
      <c r="IH10" t="e">
        <f>AND('Commercial Vehicle'!Z1,"AAAAAGb/3/E=")</f>
        <v>#VALUE!</v>
      </c>
      <c r="II10" t="e">
        <f>AND('Commercial Vehicle'!AA1,"AAAAAGb/3/I=")</f>
        <v>#VALUE!</v>
      </c>
      <c r="IJ10" t="e">
        <f>AND('Commercial Vehicle'!AB1,"AAAAAGb/3/M=")</f>
        <v>#VALUE!</v>
      </c>
      <c r="IK10" t="e">
        <f>AND('Commercial Vehicle'!AC1,"AAAAAGb/3/Q=")</f>
        <v>#VALUE!</v>
      </c>
      <c r="IL10" t="e">
        <f>AND('Commercial Vehicle'!AD1,"AAAAAGb/3/U=")</f>
        <v>#VALUE!</v>
      </c>
      <c r="IM10" t="e">
        <f>AND('Commercial Vehicle'!AE1,"AAAAAGb/3/Y=")</f>
        <v>#VALUE!</v>
      </c>
      <c r="IN10">
        <f>IF('Commercial Vehicle'!2:2,"AAAAAGb/3/c=",0)</f>
        <v>0</v>
      </c>
      <c r="IO10" t="e">
        <f>AND('Commercial Vehicle'!B2,"AAAAAGb/3/g=")</f>
        <v>#VALUE!</v>
      </c>
      <c r="IP10" t="e">
        <f>AND('Commercial Vehicle'!C2,"AAAAAGb/3/k=")</f>
        <v>#VALUE!</v>
      </c>
      <c r="IQ10" t="e">
        <f>AND('Commercial Vehicle'!D2,"AAAAAGb/3/o=")</f>
        <v>#VALUE!</v>
      </c>
      <c r="IR10" t="e">
        <f>AND('Commercial Vehicle'!E2,"AAAAAGb/3/s=")</f>
        <v>#VALUE!</v>
      </c>
      <c r="IS10" t="e">
        <f>AND('Commercial Vehicle'!F2,"AAAAAGb/3/w=")</f>
        <v>#VALUE!</v>
      </c>
      <c r="IT10" t="e">
        <f>AND('Commercial Vehicle'!G2,"AAAAAGb/3/0=")</f>
        <v>#VALUE!</v>
      </c>
      <c r="IU10" t="e">
        <f>AND('Commercial Vehicle'!H2,"AAAAAGb/3/4=")</f>
        <v>#VALUE!</v>
      </c>
      <c r="IV10" t="e">
        <f>AND('Commercial Vehicle'!I2,"AAAAAGb/3/8=")</f>
        <v>#VALUE!</v>
      </c>
    </row>
    <row r="11" spans="1:256" x14ac:dyDescent="0.25">
      <c r="A11" t="e">
        <f>AND('Commercial Vehicle'!J2,"AAAAADnf+wA=")</f>
        <v>#VALUE!</v>
      </c>
      <c r="B11" t="e">
        <f>AND('Commercial Vehicle'!K2,"AAAAADnf+wE=")</f>
        <v>#VALUE!</v>
      </c>
      <c r="C11" t="e">
        <f>AND('Commercial Vehicle'!L2,"AAAAADnf+wI=")</f>
        <v>#VALUE!</v>
      </c>
      <c r="D11" t="e">
        <f>AND('Commercial Vehicle'!M2,"AAAAADnf+wM=")</f>
        <v>#VALUE!</v>
      </c>
      <c r="E11" t="e">
        <f>AND('Commercial Vehicle'!N2,"AAAAADnf+wQ=")</f>
        <v>#VALUE!</v>
      </c>
      <c r="F11" t="e">
        <f>AND('Commercial Vehicle'!O2,"AAAAADnf+wU=")</f>
        <v>#VALUE!</v>
      </c>
      <c r="G11" t="e">
        <f>AND('Commercial Vehicle'!P2,"AAAAADnf+wY=")</f>
        <v>#VALUE!</v>
      </c>
      <c r="H11" t="e">
        <f>AND('Commercial Vehicle'!Q2,"AAAAADnf+wc=")</f>
        <v>#VALUE!</v>
      </c>
      <c r="I11" t="e">
        <f>AND('Commercial Vehicle'!R2,"AAAAADnf+wg=")</f>
        <v>#VALUE!</v>
      </c>
      <c r="J11" t="e">
        <f>AND('Commercial Vehicle'!S2,"AAAAADnf+wk=")</f>
        <v>#VALUE!</v>
      </c>
      <c r="K11" t="e">
        <f>AND('Commercial Vehicle'!T2,"AAAAADnf+wo=")</f>
        <v>#VALUE!</v>
      </c>
      <c r="L11" t="e">
        <f>AND('Commercial Vehicle'!U2,"AAAAADnf+ws=")</f>
        <v>#VALUE!</v>
      </c>
      <c r="M11" t="e">
        <f>AND('Commercial Vehicle'!V2,"AAAAADnf+ww=")</f>
        <v>#VALUE!</v>
      </c>
      <c r="N11" t="e">
        <f>AND('Commercial Vehicle'!W2,"AAAAADnf+w0=")</f>
        <v>#VALUE!</v>
      </c>
      <c r="O11" t="e">
        <f>AND('Commercial Vehicle'!X2,"AAAAADnf+w4=")</f>
        <v>#VALUE!</v>
      </c>
      <c r="P11" t="e">
        <f>AND('Commercial Vehicle'!Y2,"AAAAADnf+w8=")</f>
        <v>#VALUE!</v>
      </c>
      <c r="Q11" t="e">
        <f>AND('Commercial Vehicle'!Z2,"AAAAADnf+xA=")</f>
        <v>#VALUE!</v>
      </c>
      <c r="R11" t="e">
        <f>AND('Commercial Vehicle'!AA2,"AAAAADnf+xE=")</f>
        <v>#VALUE!</v>
      </c>
      <c r="S11" t="e">
        <f>AND('Commercial Vehicle'!AB2,"AAAAADnf+xI=")</f>
        <v>#VALUE!</v>
      </c>
      <c r="T11" t="e">
        <f>AND('Commercial Vehicle'!AC2,"AAAAADnf+xM=")</f>
        <v>#VALUE!</v>
      </c>
      <c r="U11" t="e">
        <f>AND('Commercial Vehicle'!AD2,"AAAAADnf+xQ=")</f>
        <v>#VALUE!</v>
      </c>
      <c r="V11" t="e">
        <f>AND('Commercial Vehicle'!AE2,"AAAAADnf+xU=")</f>
        <v>#VALUE!</v>
      </c>
      <c r="W11">
        <f>IF('Commercial Vehicle'!3:3,"AAAAADnf+xY=",0)</f>
        <v>0</v>
      </c>
      <c r="X11" t="e">
        <f>AND('Commercial Vehicle'!B3,"AAAAADnf+xc=")</f>
        <v>#VALUE!</v>
      </c>
      <c r="Y11">
        <f>IF('Commercial Vehicle'!4:4,"AAAAADnf+xg=",0)</f>
        <v>0</v>
      </c>
      <c r="Z11" t="e">
        <f>AND('Commercial Vehicle'!B4,"AAAAADnf+xk=")</f>
        <v>#VALUE!</v>
      </c>
      <c r="AA11">
        <f>IF('Commercial Vehicle'!5:5,"AAAAADnf+xo=",0)</f>
        <v>0</v>
      </c>
      <c r="AB11" t="e">
        <f>AND('Commercial Vehicle'!B5,"AAAAADnf+xs=")</f>
        <v>#VALUE!</v>
      </c>
      <c r="AC11">
        <f>IF('Commercial Vehicle'!6:6,"AAAAADnf+xw=",0)</f>
        <v>0</v>
      </c>
      <c r="AD11" t="e">
        <f>AND('Commercial Vehicle'!B6,"AAAAADnf+x0=")</f>
        <v>#VALUE!</v>
      </c>
      <c r="AE11">
        <f>IF('Commercial Vehicle'!7:7,"AAAAADnf+x4=",0)</f>
        <v>0</v>
      </c>
      <c r="AF11" t="e">
        <f>AND('Commercial Vehicle'!B7,"AAAAADnf+x8=")</f>
        <v>#VALUE!</v>
      </c>
      <c r="AG11">
        <f>IF('Commercial Vehicle'!8:8,"AAAAADnf+yA=",0)</f>
        <v>0</v>
      </c>
      <c r="AH11" t="e">
        <f>AND('Commercial Vehicle'!B8,"AAAAADnf+yE=")</f>
        <v>#VALUE!</v>
      </c>
      <c r="AI11">
        <f>IF('Commercial Vehicle'!9:9,"AAAAADnf+yI=",0)</f>
        <v>0</v>
      </c>
      <c r="AJ11" t="e">
        <f>AND('Commercial Vehicle'!B9,"AAAAADnf+yM=")</f>
        <v>#VALUE!</v>
      </c>
      <c r="AK11">
        <f>IF('Commercial Vehicle'!10:10,"AAAAADnf+yQ=",0)</f>
        <v>0</v>
      </c>
      <c r="AL11" t="e">
        <f>AND('Commercial Vehicle'!B10,"AAAAADnf+yU=")</f>
        <v>#VALUE!</v>
      </c>
      <c r="AM11">
        <f>IF('Commercial Vehicle'!11:11,"AAAAADnf+yY=",0)</f>
        <v>0</v>
      </c>
      <c r="AN11" t="e">
        <f>AND('Commercial Vehicle'!B11,"AAAAADnf+yc=")</f>
        <v>#VALUE!</v>
      </c>
      <c r="AO11">
        <f>IF('Commercial Vehicle'!12:12,"AAAAADnf+yg=",0)</f>
        <v>0</v>
      </c>
      <c r="AP11" t="e">
        <f>AND('Commercial Vehicle'!B12,"AAAAADnf+yk=")</f>
        <v>#VALUE!</v>
      </c>
      <c r="AQ11">
        <f>IF('Commercial Vehicle'!13:13,"AAAAADnf+yo=",0)</f>
        <v>0</v>
      </c>
      <c r="AR11" t="e">
        <f>AND('Commercial Vehicle'!B13,"AAAAADnf+ys=")</f>
        <v>#VALUE!</v>
      </c>
      <c r="AS11">
        <f>IF('Commercial Vehicle'!14:14,"AAAAADnf+yw=",0)</f>
        <v>0</v>
      </c>
      <c r="AT11" t="e">
        <f>AND('Commercial Vehicle'!B14,"AAAAADnf+y0=")</f>
        <v>#VALUE!</v>
      </c>
      <c r="AU11">
        <f>IF('Commercial Vehicle'!15:15,"AAAAADnf+y4=",0)</f>
        <v>0</v>
      </c>
      <c r="AV11" t="e">
        <f>AND('Commercial Vehicle'!B15,"AAAAADnf+y8=")</f>
        <v>#VALUE!</v>
      </c>
      <c r="AW11">
        <f>IF('Commercial Vehicle'!16:16,"AAAAADnf+zA=",0)</f>
        <v>0</v>
      </c>
      <c r="AX11" t="e">
        <f>AND('Commercial Vehicle'!B16,"AAAAADnf+zE=")</f>
        <v>#VALUE!</v>
      </c>
      <c r="AY11">
        <f>IF('Commercial Vehicle'!17:17,"AAAAADnf+zI=",0)</f>
        <v>0</v>
      </c>
      <c r="AZ11" t="e">
        <f>AND('Commercial Vehicle'!B17,"AAAAADnf+zM=")</f>
        <v>#VALUE!</v>
      </c>
      <c r="BA11">
        <f>IF('Commercial Vehicle'!18:18,"AAAAADnf+zQ=",0)</f>
        <v>0</v>
      </c>
      <c r="BB11" t="e">
        <f>AND('Commercial Vehicle'!B18,"AAAAADnf+zU=")</f>
        <v>#VALUE!</v>
      </c>
      <c r="BC11">
        <f>IF('Commercial Vehicle'!19:19,"AAAAADnf+zY=",0)</f>
        <v>0</v>
      </c>
      <c r="BD11" t="e">
        <f>AND('Commercial Vehicle'!B19,"AAAAADnf+zc=")</f>
        <v>#VALUE!</v>
      </c>
      <c r="BE11">
        <f>IF('Commercial Vehicle'!20:20,"AAAAADnf+zg=",0)</f>
        <v>0</v>
      </c>
      <c r="BF11" t="e">
        <f>AND('Commercial Vehicle'!B20,"AAAAADnf+zk=")</f>
        <v>#VALUE!</v>
      </c>
      <c r="BG11">
        <f>IF('Commercial Vehicle'!21:21,"AAAAADnf+zo=",0)</f>
        <v>0</v>
      </c>
      <c r="BH11" t="e">
        <f>AND('Commercial Vehicle'!B21,"AAAAADnf+zs=")</f>
        <v>#VALUE!</v>
      </c>
      <c r="BI11">
        <f>IF('Commercial Vehicle'!22:22,"AAAAADnf+zw=",0)</f>
        <v>0</v>
      </c>
      <c r="BJ11" t="e">
        <f>AND('Commercial Vehicle'!B22,"AAAAADnf+z0=")</f>
        <v>#VALUE!</v>
      </c>
      <c r="BK11">
        <f>IF('Commercial Vehicle'!23:23,"AAAAADnf+z4=",0)</f>
        <v>0</v>
      </c>
      <c r="BL11" t="e">
        <f>AND('Commercial Vehicle'!B23,"AAAAADnf+z8=")</f>
        <v>#VALUE!</v>
      </c>
      <c r="BM11">
        <f>IF('Commercial Vehicle'!24:24,"AAAAADnf+0A=",0)</f>
        <v>0</v>
      </c>
      <c r="BN11" t="e">
        <f>AND('Commercial Vehicle'!B24,"AAAAADnf+0E=")</f>
        <v>#VALUE!</v>
      </c>
      <c r="BO11">
        <f>IF('Commercial Vehicle'!25:25,"AAAAADnf+0I=",0)</f>
        <v>0</v>
      </c>
      <c r="BP11" t="e">
        <f>AND('Commercial Vehicle'!B25,"AAAAADnf+0M=")</f>
        <v>#VALUE!</v>
      </c>
      <c r="BQ11">
        <f>IF('Commercial Vehicle'!26:26,"AAAAADnf+0Q=",0)</f>
        <v>0</v>
      </c>
      <c r="BR11" t="e">
        <f>AND('Commercial Vehicle'!B26,"AAAAADnf+0U=")</f>
        <v>#VALUE!</v>
      </c>
      <c r="BS11">
        <f>IF('Commercial Vehicle'!27:27,"AAAAADnf+0Y=",0)</f>
        <v>0</v>
      </c>
      <c r="BT11" t="e">
        <f>AND('Commercial Vehicle'!B27,"AAAAADnf+0c=")</f>
        <v>#VALUE!</v>
      </c>
      <c r="BU11">
        <f>IF('Commercial Vehicle'!28:28,"AAAAADnf+0g=",0)</f>
        <v>0</v>
      </c>
      <c r="BV11" t="e">
        <f>AND('Commercial Vehicle'!B28,"AAAAADnf+0k=")</f>
        <v>#VALUE!</v>
      </c>
      <c r="BW11">
        <f>IF('Commercial Vehicle'!29:29,"AAAAADnf+0o=",0)</f>
        <v>0</v>
      </c>
      <c r="BX11" t="e">
        <f>AND('Commercial Vehicle'!B29,"AAAAADnf+0s=")</f>
        <v>#VALUE!</v>
      </c>
      <c r="BY11">
        <f>IF('Commercial Vehicle'!30:30,"AAAAADnf+0w=",0)</f>
        <v>0</v>
      </c>
      <c r="BZ11" t="e">
        <f>AND('Commercial Vehicle'!B30,"AAAAADnf+00=")</f>
        <v>#VALUE!</v>
      </c>
      <c r="CA11">
        <f>IF('Commercial Vehicle'!31:31,"AAAAADnf+04=",0)</f>
        <v>0</v>
      </c>
      <c r="CB11" t="e">
        <f>AND('Commercial Vehicle'!B31,"AAAAADnf+08=")</f>
        <v>#VALUE!</v>
      </c>
      <c r="CC11">
        <f>IF('Commercial Vehicle'!32:32,"AAAAADnf+1A=",0)</f>
        <v>0</v>
      </c>
      <c r="CD11" t="e">
        <f>AND('Commercial Vehicle'!B32,"AAAAADnf+1E=")</f>
        <v>#VALUE!</v>
      </c>
      <c r="CE11">
        <f>IF('Commercial Vehicle'!33:33,"AAAAADnf+1I=",0)</f>
        <v>0</v>
      </c>
      <c r="CF11" t="e">
        <f>AND('Commercial Vehicle'!B33,"AAAAADnf+1M=")</f>
        <v>#VALUE!</v>
      </c>
      <c r="CG11">
        <f>IF('Commercial Vehicle'!34:34,"AAAAADnf+1Q=",0)</f>
        <v>0</v>
      </c>
      <c r="CH11" t="e">
        <f>AND('Commercial Vehicle'!B34,"AAAAADnf+1U=")</f>
        <v>#VALUE!</v>
      </c>
      <c r="CI11">
        <f>IF('Commercial Vehicle'!35:35,"AAAAADnf+1Y=",0)</f>
        <v>0</v>
      </c>
      <c r="CJ11" t="e">
        <f>AND('Commercial Vehicle'!B35,"AAAAADnf+1c=")</f>
        <v>#VALUE!</v>
      </c>
      <c r="CK11">
        <f>IF('Commercial Vehicle'!36:36,"AAAAADnf+1g=",0)</f>
        <v>0</v>
      </c>
      <c r="CL11" t="e">
        <f>AND('Commercial Vehicle'!B36,"AAAAADnf+1k=")</f>
        <v>#VALUE!</v>
      </c>
      <c r="CM11">
        <f>IF('Commercial Vehicle'!37:37,"AAAAADnf+1o=",0)</f>
        <v>0</v>
      </c>
      <c r="CN11" t="e">
        <f>AND('Commercial Vehicle'!B37,"AAAAADnf+1s=")</f>
        <v>#VALUE!</v>
      </c>
      <c r="CO11">
        <f>IF('Commercial Vehicle'!38:38,"AAAAADnf+1w=",0)</f>
        <v>0</v>
      </c>
      <c r="CP11" t="e">
        <f>AND('Commercial Vehicle'!B38,"AAAAADnf+10=")</f>
        <v>#VALUE!</v>
      </c>
      <c r="CQ11">
        <f>IF('Commercial Vehicle'!39:39,"AAAAADnf+14=",0)</f>
        <v>0</v>
      </c>
      <c r="CR11" t="e">
        <f>AND('Commercial Vehicle'!B39,"AAAAADnf+18=")</f>
        <v>#VALUE!</v>
      </c>
      <c r="CS11">
        <f>IF('Commercial Vehicle'!40:40,"AAAAADnf+2A=",0)</f>
        <v>0</v>
      </c>
      <c r="CT11" t="e">
        <f>AND('Commercial Vehicle'!B40,"AAAAADnf+2E=")</f>
        <v>#VALUE!</v>
      </c>
      <c r="CU11">
        <f>IF('Commercial Vehicle'!41:41,"AAAAADnf+2I=",0)</f>
        <v>0</v>
      </c>
      <c r="CV11" t="e">
        <f>AND('Commercial Vehicle'!B41,"AAAAADnf+2M=")</f>
        <v>#VALUE!</v>
      </c>
      <c r="CW11">
        <f>IF('Commercial Vehicle'!42:42,"AAAAADnf+2Q=",0)</f>
        <v>0</v>
      </c>
      <c r="CX11" t="e">
        <f>AND('Commercial Vehicle'!B42,"AAAAADnf+2U=")</f>
        <v>#VALUE!</v>
      </c>
      <c r="CY11">
        <f>IF('Commercial Vehicle'!43:43,"AAAAADnf+2Y=",0)</f>
        <v>0</v>
      </c>
      <c r="CZ11" t="e">
        <f>AND('Commercial Vehicle'!B43,"AAAAADnf+2c=")</f>
        <v>#VALUE!</v>
      </c>
      <c r="DA11">
        <f>IF('Commercial Vehicle'!44:44,"AAAAADnf+2g=",0)</f>
        <v>0</v>
      </c>
      <c r="DB11" t="e">
        <f>AND('Commercial Vehicle'!B44,"AAAAADnf+2k=")</f>
        <v>#VALUE!</v>
      </c>
      <c r="DC11">
        <f>IF('Commercial Vehicle'!45:45,"AAAAADnf+2o=",0)</f>
        <v>0</v>
      </c>
      <c r="DD11" t="e">
        <f>AND('Commercial Vehicle'!B45,"AAAAADnf+2s=")</f>
        <v>#VALUE!</v>
      </c>
      <c r="DE11">
        <f>IF('Commercial Vehicle'!46:46,"AAAAADnf+2w=",0)</f>
        <v>0</v>
      </c>
      <c r="DF11" t="e">
        <f>AND('Commercial Vehicle'!B46,"AAAAADnf+20=")</f>
        <v>#VALUE!</v>
      </c>
      <c r="DG11">
        <f>IF('Commercial Vehicle'!47:47,"AAAAADnf+24=",0)</f>
        <v>0</v>
      </c>
      <c r="DH11" t="e">
        <f>AND('Commercial Vehicle'!B47,"AAAAADnf+28=")</f>
        <v>#VALUE!</v>
      </c>
      <c r="DI11">
        <f>IF('Commercial Vehicle'!48:48,"AAAAADnf+3A=",0)</f>
        <v>0</v>
      </c>
      <c r="DJ11" t="e">
        <f>AND('Commercial Vehicle'!B48,"AAAAADnf+3E=")</f>
        <v>#VALUE!</v>
      </c>
      <c r="DK11">
        <f>IF('Commercial Vehicle'!49:49,"AAAAADnf+3I=",0)</f>
        <v>0</v>
      </c>
      <c r="DL11" t="e">
        <f>AND('Commercial Vehicle'!B49,"AAAAADnf+3M=")</f>
        <v>#VALUE!</v>
      </c>
      <c r="DM11">
        <f>IF('Commercial Vehicle'!50:50,"AAAAADnf+3Q=",0)</f>
        <v>0</v>
      </c>
      <c r="DN11" t="e">
        <f>AND('Commercial Vehicle'!B50,"AAAAADnf+3U=")</f>
        <v>#VALUE!</v>
      </c>
      <c r="DO11">
        <f>IF('Commercial Vehicle'!51:51,"AAAAADnf+3Y=",0)</f>
        <v>0</v>
      </c>
      <c r="DP11" t="e">
        <f>AND('Commercial Vehicle'!B51,"AAAAADnf+3c=")</f>
        <v>#VALUE!</v>
      </c>
      <c r="DQ11">
        <f>IF('Commercial Vehicle'!52:52,"AAAAADnf+3g=",0)</f>
        <v>0</v>
      </c>
      <c r="DR11" t="e">
        <f>AND('Commercial Vehicle'!B52,"AAAAADnf+3k=")</f>
        <v>#VALUE!</v>
      </c>
      <c r="DS11">
        <f>IF('Commercial Vehicle'!53:53,"AAAAADnf+3o=",0)</f>
        <v>0</v>
      </c>
      <c r="DT11" t="e">
        <f>AND('Commercial Vehicle'!B53,"AAAAADnf+3s=")</f>
        <v>#VALUE!</v>
      </c>
      <c r="DU11">
        <f>IF('Commercial Vehicle'!54:54,"AAAAADnf+3w=",0)</f>
        <v>0</v>
      </c>
      <c r="DV11" t="e">
        <f>AND('Commercial Vehicle'!B54,"AAAAADnf+30=")</f>
        <v>#VALUE!</v>
      </c>
      <c r="DW11">
        <f>IF('Commercial Vehicle'!55:55,"AAAAADnf+34=",0)</f>
        <v>0</v>
      </c>
      <c r="DX11" t="e">
        <f>AND('Commercial Vehicle'!B55,"AAAAADnf+38=")</f>
        <v>#VALUE!</v>
      </c>
      <c r="DY11">
        <f>IF('Commercial Vehicle'!56:56,"AAAAADnf+4A=",0)</f>
        <v>0</v>
      </c>
      <c r="DZ11" t="e">
        <f>AND('Commercial Vehicle'!B56,"AAAAADnf+4E=")</f>
        <v>#VALUE!</v>
      </c>
      <c r="EA11">
        <f>IF('Commercial Vehicle'!57:57,"AAAAADnf+4I=",0)</f>
        <v>0</v>
      </c>
      <c r="EB11" t="e">
        <f>AND('Commercial Vehicle'!B57,"AAAAADnf+4M=")</f>
        <v>#VALUE!</v>
      </c>
      <c r="EC11">
        <f>IF('Commercial Vehicle'!58:58,"AAAAADnf+4Q=",0)</f>
        <v>0</v>
      </c>
      <c r="ED11" t="e">
        <f>AND('Commercial Vehicle'!B58,"AAAAADnf+4U=")</f>
        <v>#VALUE!</v>
      </c>
      <c r="EE11">
        <f>IF('Commercial Vehicle'!59:59,"AAAAADnf+4Y=",0)</f>
        <v>0</v>
      </c>
      <c r="EF11" t="e">
        <f>AND('Commercial Vehicle'!B59,"AAAAADnf+4c=")</f>
        <v>#VALUE!</v>
      </c>
      <c r="EG11">
        <f>IF('Commercial Vehicle'!60:60,"AAAAADnf+4g=",0)</f>
        <v>0</v>
      </c>
      <c r="EH11" t="e">
        <f>AND('Commercial Vehicle'!B60,"AAAAADnf+4k=")</f>
        <v>#VALUE!</v>
      </c>
      <c r="EI11">
        <f>IF('Commercial Vehicle'!61:61,"AAAAADnf+4o=",0)</f>
        <v>0</v>
      </c>
      <c r="EJ11" t="e">
        <f>AND('Commercial Vehicle'!B61,"AAAAADnf+4s=")</f>
        <v>#VALUE!</v>
      </c>
      <c r="EK11">
        <f>IF('Commercial Vehicle'!A:A,"AAAAADnf+4w=",0)</f>
        <v>0</v>
      </c>
      <c r="EL11">
        <f>IF('Commercial Vehicle'!B:B,"AAAAADnf+40=",0)</f>
        <v>0</v>
      </c>
      <c r="EM11">
        <f>IF('Commercial Vehicle'!C:C,"AAAAADnf+44=",0)</f>
        <v>0</v>
      </c>
      <c r="EN11">
        <f>IF('Commercial Vehicle'!D:D,"AAAAADnf+48=",0)</f>
        <v>0</v>
      </c>
      <c r="EO11">
        <f>IF('Commercial Vehicle'!E:E,"AAAAADnf+5A=",0)</f>
        <v>0</v>
      </c>
      <c r="EP11">
        <f>IF('Commercial Vehicle'!F:F,"AAAAADnf+5E=",0)</f>
        <v>0</v>
      </c>
      <c r="EQ11">
        <f>IF('Commercial Vehicle'!G:G,"AAAAADnf+5I=",0)</f>
        <v>0</v>
      </c>
      <c r="ER11">
        <f>IF('Commercial Vehicle'!H:H,"AAAAADnf+5M=",0)</f>
        <v>0</v>
      </c>
      <c r="ES11">
        <f>IF('Commercial Vehicle'!I:I,"AAAAADnf+5Q=",0)</f>
        <v>0</v>
      </c>
      <c r="ET11">
        <f>IF('Commercial Vehicle'!J:J,"AAAAADnf+5U=",0)</f>
        <v>0</v>
      </c>
      <c r="EU11">
        <f>IF('Commercial Vehicle'!K:K,"AAAAADnf+5Y=",0)</f>
        <v>0</v>
      </c>
      <c r="EV11">
        <f>IF('Commercial Vehicle'!L:L,"AAAAADnf+5c=",0)</f>
        <v>0</v>
      </c>
      <c r="EW11">
        <f>IF('Commercial Vehicle'!M:M,"AAAAADnf+5g=",0)</f>
        <v>0</v>
      </c>
      <c r="EX11">
        <f>IF('Commercial Vehicle'!N:N,"AAAAADnf+5k=",0)</f>
        <v>0</v>
      </c>
      <c r="EY11">
        <f>IF('Commercial Vehicle'!O:O,"AAAAADnf+5o=",0)</f>
        <v>0</v>
      </c>
      <c r="EZ11">
        <f>IF('Commercial Vehicle'!P:P,"AAAAADnf+5s=",0)</f>
        <v>0</v>
      </c>
      <c r="FA11">
        <f>IF('Commercial Vehicle'!Q:Q,"AAAAADnf+5w=",0)</f>
        <v>0</v>
      </c>
      <c r="FB11">
        <f>IF('Commercial Vehicle'!R:R,"AAAAADnf+50=",0)</f>
        <v>0</v>
      </c>
      <c r="FC11">
        <f>IF('Commercial Vehicle'!S:S,"AAAAADnf+54=",0)</f>
        <v>0</v>
      </c>
      <c r="FD11">
        <f>IF('Commercial Vehicle'!T:T,"AAAAADnf+58=",0)</f>
        <v>0</v>
      </c>
      <c r="FE11">
        <f>IF('Commercial Vehicle'!U:U,"AAAAADnf+6A=",0)</f>
        <v>0</v>
      </c>
      <c r="FF11">
        <f>IF('Commercial Vehicle'!V:V,"AAAAADnf+6E=",0)</f>
        <v>0</v>
      </c>
      <c r="FG11">
        <f>IF('Commercial Vehicle'!W:W,"AAAAADnf+6I=",0)</f>
        <v>0</v>
      </c>
      <c r="FH11">
        <f>IF('Commercial Vehicle'!X:X,"AAAAADnf+6M=",0)</f>
        <v>0</v>
      </c>
      <c r="FI11">
        <f>IF('Commercial Vehicle'!Y:Y,"AAAAADnf+6Q=",0)</f>
        <v>0</v>
      </c>
      <c r="FJ11">
        <f>IF('Commercial Vehicle'!Z:Z,"AAAAADnf+6U=",0)</f>
        <v>0</v>
      </c>
      <c r="FK11">
        <f>IF('Commercial Vehicle'!AA:AA,"AAAAADnf+6Y=",0)</f>
        <v>0</v>
      </c>
      <c r="FL11">
        <f>IF('Commercial Vehicle'!AB:AB,"AAAAADnf+6c=",0)</f>
        <v>0</v>
      </c>
      <c r="FM11">
        <f>IF('Commercial Vehicle'!AC:AC,"AAAAADnf+6g=",0)</f>
        <v>0</v>
      </c>
      <c r="FN11">
        <f>IF('Commercial Vehicle'!AD:AD,"AAAAADnf+6k=",0)</f>
        <v>0</v>
      </c>
      <c r="FO11">
        <f>IF('Commercial Vehicle'!AE:AE,"AAAAADnf+6o=",0)</f>
        <v>0</v>
      </c>
      <c r="FP11">
        <f>IF('2 wheeler'!1:1,"AAAAADnf+6s=",0)</f>
        <v>0</v>
      </c>
      <c r="FQ11" t="e">
        <f>AND('2 wheeler'!B1,"AAAAADnf+6w=")</f>
        <v>#VALUE!</v>
      </c>
      <c r="FR11" t="e">
        <f>AND('2 wheeler'!C1,"AAAAADnf+60=")</f>
        <v>#VALUE!</v>
      </c>
      <c r="FS11" t="e">
        <f>AND('2 wheeler'!D1,"AAAAADnf+64=")</f>
        <v>#VALUE!</v>
      </c>
      <c r="FT11" t="e">
        <f>AND('2 wheeler'!E1,"AAAAADnf+68=")</f>
        <v>#VALUE!</v>
      </c>
      <c r="FU11" t="e">
        <f>AND('2 wheeler'!F1,"AAAAADnf+7A=")</f>
        <v>#VALUE!</v>
      </c>
      <c r="FV11" t="e">
        <f>AND('2 wheeler'!G1,"AAAAADnf+7E=")</f>
        <v>#VALUE!</v>
      </c>
      <c r="FW11" t="e">
        <f>AND('2 wheeler'!H1,"AAAAADnf+7I=")</f>
        <v>#VALUE!</v>
      </c>
      <c r="FX11" t="e">
        <f>AND('2 wheeler'!I1,"AAAAADnf+7M=")</f>
        <v>#VALUE!</v>
      </c>
      <c r="FY11" t="e">
        <f>AND('2 wheeler'!J1,"AAAAADnf+7Q=")</f>
        <v>#VALUE!</v>
      </c>
      <c r="FZ11" t="e">
        <f>AND('2 wheeler'!K1,"AAAAADnf+7U=")</f>
        <v>#VALUE!</v>
      </c>
      <c r="GA11" t="e">
        <f>AND('2 wheeler'!L1,"AAAAADnf+7Y=")</f>
        <v>#VALUE!</v>
      </c>
      <c r="GB11" t="e">
        <f>AND('2 wheeler'!M1,"AAAAADnf+7c=")</f>
        <v>#VALUE!</v>
      </c>
      <c r="GC11" t="e">
        <f>AND('2 wheeler'!N1,"AAAAADnf+7g=")</f>
        <v>#VALUE!</v>
      </c>
      <c r="GD11" t="e">
        <f>AND('2 wheeler'!O1,"AAAAADnf+7k=")</f>
        <v>#VALUE!</v>
      </c>
      <c r="GE11" t="e">
        <f>AND('2 wheeler'!P1,"AAAAADnf+7o=")</f>
        <v>#VALUE!</v>
      </c>
      <c r="GF11" t="e">
        <f>AND('2 wheeler'!Q1,"AAAAADnf+7s=")</f>
        <v>#VALUE!</v>
      </c>
      <c r="GG11" t="e">
        <f>AND('2 wheeler'!R1,"AAAAADnf+7w=")</f>
        <v>#VALUE!</v>
      </c>
      <c r="GH11" t="e">
        <f>AND('2 wheeler'!S1,"AAAAADnf+70=")</f>
        <v>#VALUE!</v>
      </c>
      <c r="GI11" t="e">
        <f>AND('2 wheeler'!T1,"AAAAADnf+74=")</f>
        <v>#VALUE!</v>
      </c>
      <c r="GJ11" t="e">
        <f>AND('2 wheeler'!U1,"AAAAADnf+78=")</f>
        <v>#VALUE!</v>
      </c>
      <c r="GK11" t="e">
        <f>AND('2 wheeler'!V1,"AAAAADnf+8A=")</f>
        <v>#VALUE!</v>
      </c>
      <c r="GL11" t="e">
        <f>AND('2 wheeler'!W1,"AAAAADnf+8E=")</f>
        <v>#VALUE!</v>
      </c>
      <c r="GM11" t="e">
        <f>AND('2 wheeler'!X1,"AAAAADnf+8I=")</f>
        <v>#VALUE!</v>
      </c>
      <c r="GN11" t="e">
        <f>AND('2 wheeler'!Y1,"AAAAADnf+8M=")</f>
        <v>#VALUE!</v>
      </c>
      <c r="GO11" t="e">
        <f>AND('2 wheeler'!Z1,"AAAAADnf+8Q=")</f>
        <v>#VALUE!</v>
      </c>
      <c r="GP11" t="e">
        <f>AND('2 wheeler'!AA1,"AAAAADnf+8U=")</f>
        <v>#VALUE!</v>
      </c>
      <c r="GQ11" t="e">
        <f>AND('2 wheeler'!AB1,"AAAAADnf+8Y=")</f>
        <v>#VALUE!</v>
      </c>
      <c r="GR11" t="e">
        <f>AND('2 wheeler'!AC1,"AAAAADnf+8c=")</f>
        <v>#VALUE!</v>
      </c>
      <c r="GS11" t="e">
        <f>AND('2 wheeler'!AD1,"AAAAADnf+8g=")</f>
        <v>#VALUE!</v>
      </c>
      <c r="GT11" t="e">
        <f>AND('2 wheeler'!AE1,"AAAAADnf+8k=")</f>
        <v>#VALUE!</v>
      </c>
      <c r="GU11">
        <f>IF('2 wheeler'!2:2,"AAAAADnf+8o=",0)</f>
        <v>0</v>
      </c>
      <c r="GV11" t="e">
        <f>AND('2 wheeler'!B2,"AAAAADnf+8s=")</f>
        <v>#VALUE!</v>
      </c>
      <c r="GW11" t="e">
        <f>AND('2 wheeler'!C2,"AAAAADnf+8w=")</f>
        <v>#VALUE!</v>
      </c>
      <c r="GX11" t="e">
        <f>AND('2 wheeler'!D2,"AAAAADnf+80=")</f>
        <v>#VALUE!</v>
      </c>
      <c r="GY11" t="e">
        <f>AND('2 wheeler'!E2,"AAAAADnf+84=")</f>
        <v>#VALUE!</v>
      </c>
      <c r="GZ11" t="e">
        <f>AND('2 wheeler'!F2,"AAAAADnf+88=")</f>
        <v>#VALUE!</v>
      </c>
      <c r="HA11" t="e">
        <f>AND('2 wheeler'!G2,"AAAAADnf+9A=")</f>
        <v>#VALUE!</v>
      </c>
      <c r="HB11" t="e">
        <f>AND('2 wheeler'!H2,"AAAAADnf+9E=")</f>
        <v>#VALUE!</v>
      </c>
      <c r="HC11" t="e">
        <f>AND('2 wheeler'!I2,"AAAAADnf+9I=")</f>
        <v>#VALUE!</v>
      </c>
      <c r="HD11" t="e">
        <f>AND('2 wheeler'!J2,"AAAAADnf+9M=")</f>
        <v>#VALUE!</v>
      </c>
      <c r="HE11" t="e">
        <f>AND('2 wheeler'!K2,"AAAAADnf+9Q=")</f>
        <v>#VALUE!</v>
      </c>
      <c r="HF11" t="e">
        <f>AND('2 wheeler'!L2,"AAAAADnf+9U=")</f>
        <v>#VALUE!</v>
      </c>
      <c r="HG11" t="e">
        <f>AND('2 wheeler'!M2,"AAAAADnf+9Y=")</f>
        <v>#VALUE!</v>
      </c>
      <c r="HH11" t="e">
        <f>AND('2 wheeler'!N2,"AAAAADnf+9c=")</f>
        <v>#VALUE!</v>
      </c>
      <c r="HI11" t="e">
        <f>AND('2 wheeler'!O2,"AAAAADnf+9g=")</f>
        <v>#VALUE!</v>
      </c>
      <c r="HJ11" t="e">
        <f>AND('2 wheeler'!P2,"AAAAADnf+9k=")</f>
        <v>#VALUE!</v>
      </c>
      <c r="HK11" t="e">
        <f>AND('2 wheeler'!Q2,"AAAAADnf+9o=")</f>
        <v>#VALUE!</v>
      </c>
      <c r="HL11" t="e">
        <f>AND('2 wheeler'!R2,"AAAAADnf+9s=")</f>
        <v>#VALUE!</v>
      </c>
      <c r="HM11" t="e">
        <f>AND('2 wheeler'!S2,"AAAAADnf+9w=")</f>
        <v>#VALUE!</v>
      </c>
      <c r="HN11" t="e">
        <f>AND('2 wheeler'!T2,"AAAAADnf+90=")</f>
        <v>#VALUE!</v>
      </c>
      <c r="HO11" t="e">
        <f>AND('2 wheeler'!U2,"AAAAADnf+94=")</f>
        <v>#VALUE!</v>
      </c>
      <c r="HP11" t="e">
        <f>AND('2 wheeler'!V2,"AAAAADnf+98=")</f>
        <v>#VALUE!</v>
      </c>
      <c r="HQ11" t="e">
        <f>AND('2 wheeler'!W2,"AAAAADnf++A=")</f>
        <v>#VALUE!</v>
      </c>
      <c r="HR11" t="e">
        <f>AND('2 wheeler'!X2,"AAAAADnf++E=")</f>
        <v>#VALUE!</v>
      </c>
      <c r="HS11" t="e">
        <f>AND('2 wheeler'!Y2,"AAAAADnf++I=")</f>
        <v>#VALUE!</v>
      </c>
      <c r="HT11" t="e">
        <f>AND('2 wheeler'!Z2,"AAAAADnf++M=")</f>
        <v>#VALUE!</v>
      </c>
      <c r="HU11" t="e">
        <f>AND('2 wheeler'!AA2,"AAAAADnf++Q=")</f>
        <v>#VALUE!</v>
      </c>
      <c r="HV11" t="e">
        <f>AND('2 wheeler'!AB2,"AAAAADnf++U=")</f>
        <v>#VALUE!</v>
      </c>
      <c r="HW11" t="e">
        <f>AND('2 wheeler'!AC2,"AAAAADnf++Y=")</f>
        <v>#VALUE!</v>
      </c>
      <c r="HX11" t="e">
        <f>AND('2 wheeler'!AD2,"AAAAADnf++c=")</f>
        <v>#VALUE!</v>
      </c>
      <c r="HY11" t="e">
        <f>AND('2 wheeler'!AE2,"AAAAADnf++g=")</f>
        <v>#VALUE!</v>
      </c>
      <c r="HZ11">
        <f>IF('2 wheeler'!3:3,"AAAAADnf++k=",0)</f>
        <v>0</v>
      </c>
      <c r="IA11" t="e">
        <f>AND('2 wheeler'!B3,"AAAAADnf++o=")</f>
        <v>#VALUE!</v>
      </c>
      <c r="IB11">
        <f>IF('2 wheeler'!4:4,"AAAAADnf++s=",0)</f>
        <v>0</v>
      </c>
      <c r="IC11" t="e">
        <f>AND('2 wheeler'!B4,"AAAAADnf++w=")</f>
        <v>#VALUE!</v>
      </c>
      <c r="ID11">
        <f>IF('2 wheeler'!5:5,"AAAAADnf++0=",0)</f>
        <v>0</v>
      </c>
      <c r="IE11" t="e">
        <f>AND('2 wheeler'!B5,"AAAAADnf++4=")</f>
        <v>#VALUE!</v>
      </c>
      <c r="IF11">
        <f>IF('2 wheeler'!6:6,"AAAAADnf++8=",0)</f>
        <v>0</v>
      </c>
      <c r="IG11" t="e">
        <f>AND('2 wheeler'!B6,"AAAAADnf+/A=")</f>
        <v>#VALUE!</v>
      </c>
      <c r="IH11">
        <f>IF('2 wheeler'!7:7,"AAAAADnf+/E=",0)</f>
        <v>0</v>
      </c>
      <c r="II11" t="e">
        <f>AND('2 wheeler'!B7,"AAAAADnf+/I=")</f>
        <v>#VALUE!</v>
      </c>
      <c r="IJ11">
        <f>IF('2 wheeler'!8:8,"AAAAADnf+/M=",0)</f>
        <v>0</v>
      </c>
      <c r="IK11" t="e">
        <f>AND('2 wheeler'!B8,"AAAAADnf+/Q=")</f>
        <v>#VALUE!</v>
      </c>
      <c r="IL11">
        <f>IF('2 wheeler'!9:9,"AAAAADnf+/U=",0)</f>
        <v>0</v>
      </c>
      <c r="IM11" t="e">
        <f>AND('2 wheeler'!B9,"AAAAADnf+/Y=")</f>
        <v>#VALUE!</v>
      </c>
      <c r="IN11">
        <f>IF('2 wheeler'!10:10,"AAAAADnf+/c=",0)</f>
        <v>0</v>
      </c>
      <c r="IO11" t="e">
        <f>AND('2 wheeler'!B10,"AAAAADnf+/g=")</f>
        <v>#VALUE!</v>
      </c>
      <c r="IP11">
        <f>IF('2 wheeler'!11:11,"AAAAADnf+/k=",0)</f>
        <v>0</v>
      </c>
      <c r="IQ11" t="e">
        <f>AND('2 wheeler'!B11,"AAAAADnf+/o=")</f>
        <v>#VALUE!</v>
      </c>
      <c r="IR11">
        <f>IF('2 wheeler'!12:12,"AAAAADnf+/s=",0)</f>
        <v>0</v>
      </c>
      <c r="IS11" t="e">
        <f>AND('2 wheeler'!B12,"AAAAADnf+/w=")</f>
        <v>#VALUE!</v>
      </c>
      <c r="IT11">
        <f>IF('2 wheeler'!13:13,"AAAAADnf+/0=",0)</f>
        <v>0</v>
      </c>
      <c r="IU11" t="e">
        <f>AND('2 wheeler'!B13,"AAAAADnf+/4=")</f>
        <v>#VALUE!</v>
      </c>
      <c r="IV11">
        <f>IF('2 wheeler'!14:14,"AAAAADnf+/8=",0)</f>
        <v>0</v>
      </c>
    </row>
    <row r="12" spans="1:256" x14ac:dyDescent="0.25">
      <c r="A12" t="e">
        <f>AND('2 wheeler'!B14,"AAAAABv+TwA=")</f>
        <v>#VALUE!</v>
      </c>
      <c r="B12">
        <f>IF('2 wheeler'!15:15,"AAAAABv+TwE=",0)</f>
        <v>0</v>
      </c>
      <c r="C12" t="e">
        <f>AND('2 wheeler'!B15,"AAAAABv+TwI=")</f>
        <v>#VALUE!</v>
      </c>
      <c r="D12">
        <f>IF('2 wheeler'!16:16,"AAAAABv+TwM=",0)</f>
        <v>0</v>
      </c>
      <c r="E12" t="e">
        <f>AND('2 wheeler'!B16,"AAAAABv+TwQ=")</f>
        <v>#VALUE!</v>
      </c>
      <c r="F12">
        <f>IF('2 wheeler'!17:17,"AAAAABv+TwU=",0)</f>
        <v>0</v>
      </c>
      <c r="G12" t="e">
        <f>AND('2 wheeler'!B17,"AAAAABv+TwY=")</f>
        <v>#VALUE!</v>
      </c>
      <c r="H12">
        <f>IF('2 wheeler'!18:18,"AAAAABv+Twc=",0)</f>
        <v>0</v>
      </c>
      <c r="I12" t="e">
        <f>AND('2 wheeler'!B18,"AAAAABv+Twg=")</f>
        <v>#VALUE!</v>
      </c>
      <c r="J12">
        <f>IF('2 wheeler'!19:19,"AAAAABv+Twk=",0)</f>
        <v>0</v>
      </c>
      <c r="K12" t="e">
        <f>AND('2 wheeler'!B19,"AAAAABv+Two=")</f>
        <v>#VALUE!</v>
      </c>
      <c r="L12">
        <f>IF('2 wheeler'!20:20,"AAAAABv+Tws=",0)</f>
        <v>0</v>
      </c>
      <c r="M12" t="e">
        <f>AND('2 wheeler'!B20,"AAAAABv+Tww=")</f>
        <v>#VALUE!</v>
      </c>
      <c r="N12">
        <f>IF('2 wheeler'!21:21,"AAAAABv+Tw0=",0)</f>
        <v>0</v>
      </c>
      <c r="O12" t="e">
        <f>AND('2 wheeler'!B21,"AAAAABv+Tw4=")</f>
        <v>#VALUE!</v>
      </c>
      <c r="P12">
        <f>IF('2 wheeler'!22:22,"AAAAABv+Tw8=",0)</f>
        <v>0</v>
      </c>
      <c r="Q12" t="e">
        <f>AND('2 wheeler'!B22,"AAAAABv+TxA=")</f>
        <v>#VALUE!</v>
      </c>
      <c r="R12">
        <f>IF('2 wheeler'!23:23,"AAAAABv+TxE=",0)</f>
        <v>0</v>
      </c>
      <c r="S12" t="e">
        <f>AND('2 wheeler'!B23,"AAAAABv+TxI=")</f>
        <v>#VALUE!</v>
      </c>
      <c r="T12">
        <f>IF('2 wheeler'!24:24,"AAAAABv+TxM=",0)</f>
        <v>0</v>
      </c>
      <c r="U12" t="e">
        <f>AND('2 wheeler'!B24,"AAAAABv+TxQ=")</f>
        <v>#VALUE!</v>
      </c>
      <c r="V12">
        <f>IF('2 wheeler'!25:25,"AAAAABv+TxU=",0)</f>
        <v>0</v>
      </c>
      <c r="W12" t="e">
        <f>AND('2 wheeler'!B25,"AAAAABv+TxY=")</f>
        <v>#VALUE!</v>
      </c>
      <c r="X12">
        <f>IF('2 wheeler'!26:26,"AAAAABv+Txc=",0)</f>
        <v>0</v>
      </c>
      <c r="Y12" t="e">
        <f>AND('2 wheeler'!B26,"AAAAABv+Txg=")</f>
        <v>#VALUE!</v>
      </c>
      <c r="Z12">
        <f>IF('2 wheeler'!27:27,"AAAAABv+Txk=",0)</f>
        <v>0</v>
      </c>
      <c r="AA12" t="e">
        <f>AND('2 wheeler'!B27,"AAAAABv+Txo=")</f>
        <v>#VALUE!</v>
      </c>
      <c r="AB12">
        <f>IF('2 wheeler'!28:28,"AAAAABv+Txs=",0)</f>
        <v>0</v>
      </c>
      <c r="AC12" t="e">
        <f>AND('2 wheeler'!B28,"AAAAABv+Txw=")</f>
        <v>#VALUE!</v>
      </c>
      <c r="AD12">
        <f>IF('2 wheeler'!29:29,"AAAAABv+Tx0=",0)</f>
        <v>0</v>
      </c>
      <c r="AE12" t="e">
        <f>AND('2 wheeler'!B29,"AAAAABv+Tx4=")</f>
        <v>#VALUE!</v>
      </c>
      <c r="AF12">
        <f>IF('2 wheeler'!30:30,"AAAAABv+Tx8=",0)</f>
        <v>0</v>
      </c>
      <c r="AG12" t="e">
        <f>AND('2 wheeler'!B30,"AAAAABv+TyA=")</f>
        <v>#VALUE!</v>
      </c>
      <c r="AH12">
        <f>IF('2 wheeler'!31:31,"AAAAABv+TyE=",0)</f>
        <v>0</v>
      </c>
      <c r="AI12" t="e">
        <f>AND('2 wheeler'!B31,"AAAAABv+TyI=")</f>
        <v>#VALUE!</v>
      </c>
      <c r="AJ12">
        <f>IF('2 wheeler'!32:32,"AAAAABv+TyM=",0)</f>
        <v>0</v>
      </c>
      <c r="AK12" t="e">
        <f>AND('2 wheeler'!B32,"AAAAABv+TyQ=")</f>
        <v>#VALUE!</v>
      </c>
      <c r="AL12">
        <f>IF('2 wheeler'!33:33,"AAAAABv+TyU=",0)</f>
        <v>0</v>
      </c>
      <c r="AM12" t="e">
        <f>AND('2 wheeler'!B33,"AAAAABv+TyY=")</f>
        <v>#VALUE!</v>
      </c>
      <c r="AN12">
        <f>IF('2 wheeler'!34:34,"AAAAABv+Tyc=",0)</f>
        <v>0</v>
      </c>
      <c r="AO12" t="e">
        <f>AND('2 wheeler'!B34,"AAAAABv+Tyg=")</f>
        <v>#VALUE!</v>
      </c>
      <c r="AP12">
        <f>IF('2 wheeler'!35:35,"AAAAABv+Tyk=",0)</f>
        <v>0</v>
      </c>
      <c r="AQ12" t="e">
        <f>AND('2 wheeler'!B35,"AAAAABv+Tyo=")</f>
        <v>#VALUE!</v>
      </c>
      <c r="AR12">
        <f>IF('2 wheeler'!36:36,"AAAAABv+Tys=",0)</f>
        <v>0</v>
      </c>
      <c r="AS12" t="e">
        <f>AND('2 wheeler'!B36,"AAAAABv+Tyw=")</f>
        <v>#VALUE!</v>
      </c>
      <c r="AT12">
        <f>IF('2 wheeler'!37:37,"AAAAABv+Ty0=",0)</f>
        <v>0</v>
      </c>
      <c r="AU12" t="e">
        <f>AND('2 wheeler'!B37,"AAAAABv+Ty4=")</f>
        <v>#VALUE!</v>
      </c>
      <c r="AV12">
        <f>IF('2 wheeler'!38:38,"AAAAABv+Ty8=",0)</f>
        <v>0</v>
      </c>
      <c r="AW12" t="e">
        <f>AND('2 wheeler'!B38,"AAAAABv+TzA=")</f>
        <v>#VALUE!</v>
      </c>
      <c r="AX12">
        <f>IF('2 wheeler'!39:39,"AAAAABv+TzE=",0)</f>
        <v>0</v>
      </c>
      <c r="AY12" t="e">
        <f>AND('2 wheeler'!B39,"AAAAABv+TzI=")</f>
        <v>#VALUE!</v>
      </c>
      <c r="AZ12">
        <f>IF('2 wheeler'!40:40,"AAAAABv+TzM=",0)</f>
        <v>0</v>
      </c>
      <c r="BA12" t="e">
        <f>AND('2 wheeler'!B40,"AAAAABv+TzQ=")</f>
        <v>#VALUE!</v>
      </c>
      <c r="BB12">
        <f>IF('2 wheeler'!41:41,"AAAAABv+TzU=",0)</f>
        <v>0</v>
      </c>
      <c r="BC12" t="e">
        <f>AND('2 wheeler'!B41,"AAAAABv+TzY=")</f>
        <v>#VALUE!</v>
      </c>
      <c r="BD12">
        <f>IF('2 wheeler'!42:42,"AAAAABv+Tzc=",0)</f>
        <v>0</v>
      </c>
      <c r="BE12" t="e">
        <f>AND('2 wheeler'!B42,"AAAAABv+Tzg=")</f>
        <v>#VALUE!</v>
      </c>
      <c r="BF12">
        <f>IF('2 wheeler'!43:43,"AAAAABv+Tzk=",0)</f>
        <v>0</v>
      </c>
      <c r="BG12" t="e">
        <f>AND('2 wheeler'!B43,"AAAAABv+Tzo=")</f>
        <v>#VALUE!</v>
      </c>
      <c r="BH12">
        <f>IF('2 wheeler'!44:44,"AAAAABv+Tzs=",0)</f>
        <v>0</v>
      </c>
      <c r="BI12" t="e">
        <f>AND('2 wheeler'!B44,"AAAAABv+Tzw=")</f>
        <v>#VALUE!</v>
      </c>
      <c r="BJ12">
        <f>IF('2 wheeler'!45:45,"AAAAABv+Tz0=",0)</f>
        <v>0</v>
      </c>
      <c r="BK12" t="e">
        <f>AND('2 wheeler'!B45,"AAAAABv+Tz4=")</f>
        <v>#VALUE!</v>
      </c>
      <c r="BL12">
        <f>IF('2 wheeler'!46:46,"AAAAABv+Tz8=",0)</f>
        <v>0</v>
      </c>
      <c r="BM12" t="e">
        <f>AND('2 wheeler'!B46,"AAAAABv+T0A=")</f>
        <v>#VALUE!</v>
      </c>
      <c r="BN12">
        <f>IF('2 wheeler'!47:47,"AAAAABv+T0E=",0)</f>
        <v>0</v>
      </c>
      <c r="BO12" t="e">
        <f>AND('2 wheeler'!B47,"AAAAABv+T0I=")</f>
        <v>#VALUE!</v>
      </c>
      <c r="BP12">
        <f>IF('2 wheeler'!48:48,"AAAAABv+T0M=",0)</f>
        <v>0</v>
      </c>
      <c r="BQ12" t="e">
        <f>AND('2 wheeler'!B48,"AAAAABv+T0Q=")</f>
        <v>#VALUE!</v>
      </c>
      <c r="BR12">
        <f>IF('2 wheeler'!49:49,"AAAAABv+T0U=",0)</f>
        <v>0</v>
      </c>
      <c r="BS12" t="e">
        <f>AND('2 wheeler'!B49,"AAAAABv+T0Y=")</f>
        <v>#VALUE!</v>
      </c>
      <c r="BT12">
        <f>IF('2 wheeler'!50:50,"AAAAABv+T0c=",0)</f>
        <v>0</v>
      </c>
      <c r="BU12" t="e">
        <f>AND('2 wheeler'!B50,"AAAAABv+T0g=")</f>
        <v>#VALUE!</v>
      </c>
      <c r="BV12">
        <f>IF('2 wheeler'!51:51,"AAAAABv+T0k=",0)</f>
        <v>0</v>
      </c>
      <c r="BW12" t="e">
        <f>AND('2 wheeler'!B51,"AAAAABv+T0o=")</f>
        <v>#VALUE!</v>
      </c>
      <c r="BX12">
        <f>IF('2 wheeler'!52:52,"AAAAABv+T0s=",0)</f>
        <v>0</v>
      </c>
      <c r="BY12" t="e">
        <f>AND('2 wheeler'!B52,"AAAAABv+T0w=")</f>
        <v>#VALUE!</v>
      </c>
      <c r="BZ12">
        <f>IF('2 wheeler'!53:53,"AAAAABv+T00=",0)</f>
        <v>0</v>
      </c>
      <c r="CA12" t="e">
        <f>AND('2 wheeler'!B53,"AAAAABv+T04=")</f>
        <v>#VALUE!</v>
      </c>
      <c r="CB12">
        <f>IF('2 wheeler'!54:54,"AAAAABv+T08=",0)</f>
        <v>0</v>
      </c>
      <c r="CC12" t="e">
        <f>AND('2 wheeler'!B54,"AAAAABv+T1A=")</f>
        <v>#VALUE!</v>
      </c>
      <c r="CD12">
        <f>IF('2 wheeler'!55:55,"AAAAABv+T1E=",0)</f>
        <v>0</v>
      </c>
      <c r="CE12" t="e">
        <f>AND('2 wheeler'!B55,"AAAAABv+T1I=")</f>
        <v>#VALUE!</v>
      </c>
      <c r="CF12">
        <f>IF('2 wheeler'!56:56,"AAAAABv+T1M=",0)</f>
        <v>0</v>
      </c>
      <c r="CG12" t="e">
        <f>AND('2 wheeler'!B56,"AAAAABv+T1Q=")</f>
        <v>#VALUE!</v>
      </c>
      <c r="CH12">
        <f>IF('2 wheeler'!57:57,"AAAAABv+T1U=",0)</f>
        <v>0</v>
      </c>
      <c r="CI12" t="e">
        <f>AND('2 wheeler'!B57,"AAAAABv+T1Y=")</f>
        <v>#VALUE!</v>
      </c>
      <c r="CJ12">
        <f>IF('2 wheeler'!58:58,"AAAAABv+T1c=",0)</f>
        <v>0</v>
      </c>
      <c r="CK12" t="e">
        <f>AND('2 wheeler'!B58,"AAAAABv+T1g=")</f>
        <v>#VALUE!</v>
      </c>
      <c r="CL12">
        <f>IF('2 wheeler'!59:59,"AAAAABv+T1k=",0)</f>
        <v>0</v>
      </c>
      <c r="CM12" t="e">
        <f>AND('2 wheeler'!B59,"AAAAABv+T1o=")</f>
        <v>#VALUE!</v>
      </c>
      <c r="CN12">
        <f>IF('2 wheeler'!60:60,"AAAAABv+T1s=",0)</f>
        <v>0</v>
      </c>
      <c r="CO12" t="e">
        <f>AND('2 wheeler'!B60,"AAAAABv+T1w=")</f>
        <v>#VALUE!</v>
      </c>
      <c r="CP12">
        <f>IF('2 wheeler'!61:61,"AAAAABv+T10=",0)</f>
        <v>0</v>
      </c>
      <c r="CQ12" t="e">
        <f>AND('2 wheeler'!B61,"AAAAABv+T14=")</f>
        <v>#VALUE!</v>
      </c>
      <c r="CR12">
        <f>IF('2 wheeler'!62:62,"AAAAABv+T18=",0)</f>
        <v>0</v>
      </c>
      <c r="CS12" t="e">
        <f>AND('2 wheeler'!B62,"AAAAABv+T2A=")</f>
        <v>#VALUE!</v>
      </c>
      <c r="CT12">
        <f>IF('2 wheeler'!63:63,"AAAAABv+T2E=",0)</f>
        <v>0</v>
      </c>
      <c r="CU12" t="e">
        <f>AND('2 wheeler'!B63,"AAAAABv+T2I=")</f>
        <v>#VALUE!</v>
      </c>
      <c r="CV12">
        <f>IF('2 wheeler'!64:64,"AAAAABv+T2M=",0)</f>
        <v>0</v>
      </c>
      <c r="CW12" t="e">
        <f>AND('2 wheeler'!B64,"AAAAABv+T2Q=")</f>
        <v>#VALUE!</v>
      </c>
      <c r="CX12">
        <f>IF('2 wheeler'!65:65,"AAAAABv+T2U=",0)</f>
        <v>0</v>
      </c>
      <c r="CY12" t="e">
        <f>AND('2 wheeler'!B65,"AAAAABv+T2Y=")</f>
        <v>#VALUE!</v>
      </c>
      <c r="CZ12">
        <f>IF('2 wheeler'!66:66,"AAAAABv+T2c=",0)</f>
        <v>0</v>
      </c>
      <c r="DA12" t="e">
        <f>AND('2 wheeler'!B66,"AAAAABv+T2g=")</f>
        <v>#VALUE!</v>
      </c>
      <c r="DB12">
        <f>IF('2 wheeler'!67:67,"AAAAABv+T2k=",0)</f>
        <v>0</v>
      </c>
      <c r="DC12" t="e">
        <f>AND('2 wheeler'!B67,"AAAAABv+T2o=")</f>
        <v>#VALUE!</v>
      </c>
      <c r="DD12">
        <f>IF('2 wheeler'!68:68,"AAAAABv+T2s=",0)</f>
        <v>0</v>
      </c>
      <c r="DE12" t="e">
        <f>AND('2 wheeler'!B68,"AAAAABv+T2w=")</f>
        <v>#VALUE!</v>
      </c>
      <c r="DF12">
        <f>IF('2 wheeler'!69:69,"AAAAABv+T20=",0)</f>
        <v>0</v>
      </c>
      <c r="DG12" t="e">
        <f>AND('2 wheeler'!B69,"AAAAABv+T24=")</f>
        <v>#VALUE!</v>
      </c>
      <c r="DH12">
        <f>IF('2 wheeler'!70:70,"AAAAABv+T28=",0)</f>
        <v>0</v>
      </c>
      <c r="DI12" t="e">
        <f>AND('2 wheeler'!B70,"AAAAABv+T3A=")</f>
        <v>#VALUE!</v>
      </c>
      <c r="DJ12">
        <f>IF('2 wheeler'!71:71,"AAAAABv+T3E=",0)</f>
        <v>0</v>
      </c>
      <c r="DK12" t="e">
        <f>AND('2 wheeler'!B71,"AAAAABv+T3I=")</f>
        <v>#VALUE!</v>
      </c>
      <c r="DL12">
        <f>IF('2 wheeler'!72:72,"AAAAABv+T3M=",0)</f>
        <v>0</v>
      </c>
      <c r="DM12" t="e">
        <f>AND('2 wheeler'!B72,"AAAAABv+T3Q=")</f>
        <v>#VALUE!</v>
      </c>
      <c r="DN12">
        <f>IF('2 wheeler'!73:73,"AAAAABv+T3U=",0)</f>
        <v>0</v>
      </c>
      <c r="DO12" t="e">
        <f>AND('2 wheeler'!B73,"AAAAABv+T3Y=")</f>
        <v>#VALUE!</v>
      </c>
      <c r="DP12">
        <f>IF('2 wheeler'!74:74,"AAAAABv+T3c=",0)</f>
        <v>0</v>
      </c>
      <c r="DQ12" t="e">
        <f>AND('2 wheeler'!B74,"AAAAABv+T3g=")</f>
        <v>#VALUE!</v>
      </c>
      <c r="DR12">
        <f>IF('2 wheeler'!75:75,"AAAAABv+T3k=",0)</f>
        <v>0</v>
      </c>
      <c r="DS12" t="e">
        <f>AND('2 wheeler'!B75,"AAAAABv+T3o=")</f>
        <v>#VALUE!</v>
      </c>
      <c r="DT12">
        <f>IF('2 wheeler'!76:76,"AAAAABv+T3s=",0)</f>
        <v>0</v>
      </c>
      <c r="DU12" t="e">
        <f>AND('2 wheeler'!B76,"AAAAABv+T3w=")</f>
        <v>#VALUE!</v>
      </c>
      <c r="DV12">
        <f>IF('2 wheeler'!77:77,"AAAAABv+T30=",0)</f>
        <v>0</v>
      </c>
      <c r="DW12" t="e">
        <f>AND('2 wheeler'!B77,"AAAAABv+T34=")</f>
        <v>#VALUE!</v>
      </c>
      <c r="DX12">
        <f>IF('2 wheeler'!78:78,"AAAAABv+T38=",0)</f>
        <v>0</v>
      </c>
      <c r="DY12" t="e">
        <f>AND('2 wheeler'!B78,"AAAAABv+T4A=")</f>
        <v>#VALUE!</v>
      </c>
      <c r="DZ12">
        <f>IF('2 wheeler'!79:79,"AAAAABv+T4E=",0)</f>
        <v>0</v>
      </c>
      <c r="EA12" t="e">
        <f>AND('2 wheeler'!B79,"AAAAABv+T4I=")</f>
        <v>#VALUE!</v>
      </c>
      <c r="EB12">
        <f>IF('2 wheeler'!80:80,"AAAAABv+T4M=",0)</f>
        <v>0</v>
      </c>
      <c r="EC12" t="e">
        <f>AND('2 wheeler'!B80,"AAAAABv+T4Q=")</f>
        <v>#VALUE!</v>
      </c>
      <c r="ED12">
        <f>IF('2 wheeler'!81:81,"AAAAABv+T4U=",0)</f>
        <v>0</v>
      </c>
      <c r="EE12" t="e">
        <f>AND('2 wheeler'!B81,"AAAAABv+T4Y=")</f>
        <v>#VALUE!</v>
      </c>
      <c r="EF12">
        <f>IF('2 wheeler'!82:82,"AAAAABv+T4c=",0)</f>
        <v>0</v>
      </c>
      <c r="EG12" t="e">
        <f>AND('2 wheeler'!B82,"AAAAABv+T4g=")</f>
        <v>#VALUE!</v>
      </c>
      <c r="EH12">
        <f>IF('2 wheeler'!83:83,"AAAAABv+T4k=",0)</f>
        <v>0</v>
      </c>
      <c r="EI12" t="e">
        <f>AND('2 wheeler'!B83,"AAAAABv+T4o=")</f>
        <v>#VALUE!</v>
      </c>
      <c r="EJ12">
        <f>IF('2 wheeler'!84:84,"AAAAABv+T4s=",0)</f>
        <v>0</v>
      </c>
      <c r="EK12" t="e">
        <f>AND('2 wheeler'!B84,"AAAAABv+T4w=")</f>
        <v>#VALUE!</v>
      </c>
      <c r="EL12">
        <f>IF('2 wheeler'!85:85,"AAAAABv+T40=",0)</f>
        <v>0</v>
      </c>
      <c r="EM12" t="e">
        <f>AND('2 wheeler'!B85,"AAAAABv+T44=")</f>
        <v>#VALUE!</v>
      </c>
      <c r="EN12">
        <f>IF('2 wheeler'!86:86,"AAAAABv+T48=",0)</f>
        <v>0</v>
      </c>
      <c r="EO12" t="e">
        <f>AND('2 wheeler'!B86,"AAAAABv+T5A=")</f>
        <v>#VALUE!</v>
      </c>
      <c r="EP12">
        <f>IF('2 wheeler'!87:87,"AAAAABv+T5E=",0)</f>
        <v>0</v>
      </c>
      <c r="EQ12" t="e">
        <f>AND('2 wheeler'!B87,"AAAAABv+T5I=")</f>
        <v>#VALUE!</v>
      </c>
      <c r="ER12">
        <f>IF('2 wheeler'!88:88,"AAAAABv+T5M=",0)</f>
        <v>0</v>
      </c>
      <c r="ES12" t="e">
        <f>AND('2 wheeler'!B88,"AAAAABv+T5Q=")</f>
        <v>#VALUE!</v>
      </c>
      <c r="ET12">
        <f>IF('2 wheeler'!89:89,"AAAAABv+T5U=",0)</f>
        <v>0</v>
      </c>
      <c r="EU12" t="e">
        <f>AND('2 wheeler'!B89,"AAAAABv+T5Y=")</f>
        <v>#VALUE!</v>
      </c>
      <c r="EV12">
        <f>IF('2 wheeler'!90:90,"AAAAABv+T5c=",0)</f>
        <v>0</v>
      </c>
      <c r="EW12" t="e">
        <f>AND('2 wheeler'!B90,"AAAAABv+T5g=")</f>
        <v>#VALUE!</v>
      </c>
      <c r="EX12">
        <f>IF('2 wheeler'!A:A,"AAAAABv+T5k=",0)</f>
        <v>0</v>
      </c>
      <c r="EY12">
        <f>IF('2 wheeler'!B:B,"AAAAABv+T5o=",0)</f>
        <v>0</v>
      </c>
      <c r="EZ12">
        <f>IF('2 wheeler'!C:C,"AAAAABv+T5s=",0)</f>
        <v>0</v>
      </c>
      <c r="FA12">
        <f>IF('2 wheeler'!D:D,"AAAAABv+T5w=",0)</f>
        <v>0</v>
      </c>
      <c r="FB12">
        <f>IF('2 wheeler'!E:E,"AAAAABv+T50=",0)</f>
        <v>0</v>
      </c>
      <c r="FC12">
        <f>IF('2 wheeler'!F:F,"AAAAABv+T54=",0)</f>
        <v>0</v>
      </c>
      <c r="FD12">
        <f>IF('2 wheeler'!G:G,"AAAAABv+T58=",0)</f>
        <v>0</v>
      </c>
      <c r="FE12">
        <f>IF('2 wheeler'!H:H,"AAAAABv+T6A=",0)</f>
        <v>0</v>
      </c>
      <c r="FF12">
        <f>IF('2 wheeler'!I:I,"AAAAABv+T6E=",0)</f>
        <v>0</v>
      </c>
      <c r="FG12">
        <f>IF('2 wheeler'!J:J,"AAAAABv+T6I=",0)</f>
        <v>0</v>
      </c>
      <c r="FH12">
        <f>IF('2 wheeler'!K:K,"AAAAABv+T6M=",0)</f>
        <v>0</v>
      </c>
      <c r="FI12">
        <f>IF('2 wheeler'!L:L,"AAAAABv+T6Q=",0)</f>
        <v>0</v>
      </c>
      <c r="FJ12">
        <f>IF('2 wheeler'!M:M,"AAAAABv+T6U=",0)</f>
        <v>0</v>
      </c>
      <c r="FK12">
        <f>IF('2 wheeler'!N:N,"AAAAABv+T6Y=",0)</f>
        <v>0</v>
      </c>
      <c r="FL12">
        <f>IF('2 wheeler'!O:O,"AAAAABv+T6c=",0)</f>
        <v>0</v>
      </c>
      <c r="FM12">
        <f>IF('2 wheeler'!P:P,"AAAAABv+T6g=",0)</f>
        <v>0</v>
      </c>
      <c r="FN12">
        <f>IF('2 wheeler'!Q:Q,"AAAAABv+T6k=",0)</f>
        <v>0</v>
      </c>
      <c r="FO12">
        <f>IF('2 wheeler'!R:R,"AAAAABv+T6o=",0)</f>
        <v>0</v>
      </c>
      <c r="FP12">
        <f>IF('2 wheeler'!S:S,"AAAAABv+T6s=",0)</f>
        <v>0</v>
      </c>
      <c r="FQ12">
        <f>IF('2 wheeler'!T:T,"AAAAABv+T6w=",0)</f>
        <v>0</v>
      </c>
      <c r="FR12">
        <f>IF('2 wheeler'!U:U,"AAAAABv+T60=",0)</f>
        <v>0</v>
      </c>
      <c r="FS12">
        <f>IF('2 wheeler'!V:V,"AAAAABv+T64=",0)</f>
        <v>0</v>
      </c>
      <c r="FT12">
        <f>IF('2 wheeler'!W:W,"AAAAABv+T68=",0)</f>
        <v>0</v>
      </c>
      <c r="FU12">
        <f>IF('2 wheeler'!X:X,"AAAAABv+T7A=",0)</f>
        <v>0</v>
      </c>
      <c r="FV12">
        <f>IF('2 wheeler'!Y:Y,"AAAAABv+T7E=",0)</f>
        <v>0</v>
      </c>
      <c r="FW12">
        <f>IF('2 wheeler'!Z:Z,"AAAAABv+T7I=",0)</f>
        <v>0</v>
      </c>
      <c r="FX12">
        <f>IF('2 wheeler'!AA:AA,"AAAAABv+T7M=",0)</f>
        <v>0</v>
      </c>
      <c r="FY12">
        <f>IF('2 wheeler'!AB:AB,"AAAAABv+T7Q=",0)</f>
        <v>0</v>
      </c>
      <c r="FZ12">
        <f>IF('2 wheeler'!AC:AC,"AAAAABv+T7U=",0)</f>
        <v>0</v>
      </c>
      <c r="GA12">
        <f>IF('2 wheeler'!AD:AD,"AAAAABv+T7Y=",0)</f>
        <v>0</v>
      </c>
      <c r="GB12">
        <f>IF('2 wheeler'!AE:AE,"AAAAABv+T7c=",0)</f>
        <v>0</v>
      </c>
      <c r="GC12">
        <f>IF('Three Wheeler'!1:1,"AAAAABv+T7g=",0)</f>
        <v>0</v>
      </c>
      <c r="GD12" t="e">
        <f>AND('Three Wheeler'!B1,"AAAAABv+T7k=")</f>
        <v>#VALUE!</v>
      </c>
      <c r="GE12" t="e">
        <f>AND('Three Wheeler'!C1,"AAAAABv+T7o=")</f>
        <v>#VALUE!</v>
      </c>
      <c r="GF12" t="e">
        <f>AND('Three Wheeler'!D1,"AAAAABv+T7s=")</f>
        <v>#VALUE!</v>
      </c>
      <c r="GG12" t="e">
        <f>AND('Three Wheeler'!E1,"AAAAABv+T7w=")</f>
        <v>#VALUE!</v>
      </c>
      <c r="GH12" t="e">
        <f>AND('Three Wheeler'!F1,"AAAAABv+T70=")</f>
        <v>#VALUE!</v>
      </c>
      <c r="GI12" t="e">
        <f>AND('Three Wheeler'!G1,"AAAAABv+T74=")</f>
        <v>#VALUE!</v>
      </c>
      <c r="GJ12" t="e">
        <f>AND('Three Wheeler'!H1,"AAAAABv+T78=")</f>
        <v>#VALUE!</v>
      </c>
      <c r="GK12" t="e">
        <f>AND('Three Wheeler'!I1,"AAAAABv+T8A=")</f>
        <v>#VALUE!</v>
      </c>
      <c r="GL12" t="e">
        <f>AND('Three Wheeler'!J1,"AAAAABv+T8E=")</f>
        <v>#VALUE!</v>
      </c>
      <c r="GM12" t="e">
        <f>AND('Three Wheeler'!K1,"AAAAABv+T8I=")</f>
        <v>#VALUE!</v>
      </c>
      <c r="GN12" t="e">
        <f>AND('Three Wheeler'!L1,"AAAAABv+T8M=")</f>
        <v>#VALUE!</v>
      </c>
      <c r="GO12" t="e">
        <f>AND('Three Wheeler'!M1,"AAAAABv+T8Q=")</f>
        <v>#VALUE!</v>
      </c>
      <c r="GP12" t="e">
        <f>AND('Three Wheeler'!N1,"AAAAABv+T8U=")</f>
        <v>#VALUE!</v>
      </c>
      <c r="GQ12" t="e">
        <f>AND('Three Wheeler'!O1,"AAAAABv+T8Y=")</f>
        <v>#VALUE!</v>
      </c>
      <c r="GR12" t="e">
        <f>AND('Three Wheeler'!P1,"AAAAABv+T8c=")</f>
        <v>#VALUE!</v>
      </c>
      <c r="GS12" t="e">
        <f>AND('Three Wheeler'!Q1,"AAAAABv+T8g=")</f>
        <v>#VALUE!</v>
      </c>
      <c r="GT12" t="e">
        <f>AND('Three Wheeler'!R1,"AAAAABv+T8k=")</f>
        <v>#VALUE!</v>
      </c>
      <c r="GU12" t="e">
        <f>AND('Three Wheeler'!S1,"AAAAABv+T8o=")</f>
        <v>#VALUE!</v>
      </c>
      <c r="GV12" t="e">
        <f>AND('Three Wheeler'!T1,"AAAAABv+T8s=")</f>
        <v>#VALUE!</v>
      </c>
      <c r="GW12" t="e">
        <f>AND('Three Wheeler'!U1,"AAAAABv+T8w=")</f>
        <v>#VALUE!</v>
      </c>
      <c r="GX12" t="e">
        <f>AND('Three Wheeler'!V1,"AAAAABv+T80=")</f>
        <v>#VALUE!</v>
      </c>
      <c r="GY12" t="e">
        <f>AND('Three Wheeler'!W1,"AAAAABv+T84=")</f>
        <v>#VALUE!</v>
      </c>
      <c r="GZ12" t="e">
        <f>AND('Three Wheeler'!X1,"AAAAABv+T88=")</f>
        <v>#VALUE!</v>
      </c>
      <c r="HA12" t="e">
        <f>AND('Three Wheeler'!Y1,"AAAAABv+T9A=")</f>
        <v>#VALUE!</v>
      </c>
      <c r="HB12" t="e">
        <f>AND('Three Wheeler'!Z1,"AAAAABv+T9E=")</f>
        <v>#VALUE!</v>
      </c>
      <c r="HC12" t="e">
        <f>AND('Three Wheeler'!AA1,"AAAAABv+T9I=")</f>
        <v>#VALUE!</v>
      </c>
      <c r="HD12" t="e">
        <f>AND('Three Wheeler'!AB1,"AAAAABv+T9M=")</f>
        <v>#VALUE!</v>
      </c>
      <c r="HE12" t="e">
        <f>AND('Three Wheeler'!AC1,"AAAAABv+T9Q=")</f>
        <v>#VALUE!</v>
      </c>
      <c r="HF12" t="e">
        <f>AND('Three Wheeler'!AD1,"AAAAABv+T9U=")</f>
        <v>#VALUE!</v>
      </c>
      <c r="HG12" t="e">
        <f>AND('Three Wheeler'!AE1,"AAAAABv+T9Y=")</f>
        <v>#VALUE!</v>
      </c>
      <c r="HH12">
        <f>IF('Three Wheeler'!2:2,"AAAAABv+T9c=",0)</f>
        <v>0</v>
      </c>
      <c r="HI12" t="e">
        <f>AND('Three Wheeler'!B2,"AAAAABv+T9g=")</f>
        <v>#VALUE!</v>
      </c>
      <c r="HJ12" t="e">
        <f>AND('Three Wheeler'!C2,"AAAAABv+T9k=")</f>
        <v>#VALUE!</v>
      </c>
      <c r="HK12" t="e">
        <f>AND('Three Wheeler'!D2,"AAAAABv+T9o=")</f>
        <v>#VALUE!</v>
      </c>
      <c r="HL12" t="e">
        <f>AND('Three Wheeler'!E2,"AAAAABv+T9s=")</f>
        <v>#VALUE!</v>
      </c>
      <c r="HM12" t="e">
        <f>AND('Three Wheeler'!F2,"AAAAABv+T9w=")</f>
        <v>#VALUE!</v>
      </c>
      <c r="HN12" t="e">
        <f>AND('Three Wheeler'!G2,"AAAAABv+T90=")</f>
        <v>#VALUE!</v>
      </c>
      <c r="HO12" t="e">
        <f>AND('Three Wheeler'!H2,"AAAAABv+T94=")</f>
        <v>#VALUE!</v>
      </c>
      <c r="HP12" t="e">
        <f>AND('Three Wheeler'!I2,"AAAAABv+T98=")</f>
        <v>#VALUE!</v>
      </c>
      <c r="HQ12" t="e">
        <f>AND('Three Wheeler'!J2,"AAAAABv+T+A=")</f>
        <v>#VALUE!</v>
      </c>
      <c r="HR12" t="e">
        <f>AND('Three Wheeler'!K2,"AAAAABv+T+E=")</f>
        <v>#VALUE!</v>
      </c>
      <c r="HS12" t="e">
        <f>AND('Three Wheeler'!L2,"AAAAABv+T+I=")</f>
        <v>#VALUE!</v>
      </c>
      <c r="HT12" t="e">
        <f>AND('Three Wheeler'!M2,"AAAAABv+T+M=")</f>
        <v>#VALUE!</v>
      </c>
      <c r="HU12" t="e">
        <f>AND('Three Wheeler'!N2,"AAAAABv+T+Q=")</f>
        <v>#VALUE!</v>
      </c>
      <c r="HV12" t="e">
        <f>AND('Three Wheeler'!O2,"AAAAABv+T+U=")</f>
        <v>#VALUE!</v>
      </c>
      <c r="HW12" t="e">
        <f>AND('Three Wheeler'!P2,"AAAAABv+T+Y=")</f>
        <v>#VALUE!</v>
      </c>
      <c r="HX12" t="e">
        <f>AND('Three Wheeler'!Q2,"AAAAABv+T+c=")</f>
        <v>#VALUE!</v>
      </c>
      <c r="HY12" t="e">
        <f>AND('Three Wheeler'!R2,"AAAAABv+T+g=")</f>
        <v>#VALUE!</v>
      </c>
      <c r="HZ12" t="e">
        <f>AND('Three Wheeler'!S2,"AAAAABv+T+k=")</f>
        <v>#VALUE!</v>
      </c>
      <c r="IA12" t="e">
        <f>AND('Three Wheeler'!T2,"AAAAABv+T+o=")</f>
        <v>#VALUE!</v>
      </c>
      <c r="IB12" t="e">
        <f>AND('Three Wheeler'!U2,"AAAAABv+T+s=")</f>
        <v>#VALUE!</v>
      </c>
      <c r="IC12" t="e">
        <f>AND('Three Wheeler'!V2,"AAAAABv+T+w=")</f>
        <v>#VALUE!</v>
      </c>
      <c r="ID12" t="e">
        <f>AND('Three Wheeler'!W2,"AAAAABv+T+0=")</f>
        <v>#VALUE!</v>
      </c>
      <c r="IE12" t="e">
        <f>AND('Three Wheeler'!X2,"AAAAABv+T+4=")</f>
        <v>#VALUE!</v>
      </c>
      <c r="IF12" t="e">
        <f>AND('Three Wheeler'!Y2,"AAAAABv+T+8=")</f>
        <v>#VALUE!</v>
      </c>
      <c r="IG12" t="e">
        <f>AND('Three Wheeler'!Z2,"AAAAABv+T/A=")</f>
        <v>#VALUE!</v>
      </c>
      <c r="IH12" t="e">
        <f>AND('Three Wheeler'!AA2,"AAAAABv+T/E=")</f>
        <v>#VALUE!</v>
      </c>
      <c r="II12" t="e">
        <f>AND('Three Wheeler'!AB2,"AAAAABv+T/I=")</f>
        <v>#VALUE!</v>
      </c>
      <c r="IJ12" t="e">
        <f>AND('Three Wheeler'!AC2,"AAAAABv+T/M=")</f>
        <v>#VALUE!</v>
      </c>
      <c r="IK12" t="e">
        <f>AND('Three Wheeler'!AD2,"AAAAABv+T/Q=")</f>
        <v>#VALUE!</v>
      </c>
      <c r="IL12" t="e">
        <f>AND('Three Wheeler'!AE2,"AAAAABv+T/U=")</f>
        <v>#VALUE!</v>
      </c>
      <c r="IM12">
        <f>IF('Three Wheeler'!3:3,"AAAAABv+T/Y=",0)</f>
        <v>0</v>
      </c>
      <c r="IN12" t="e">
        <f>AND('Three Wheeler'!B3,"AAAAABv+T/c=")</f>
        <v>#VALUE!</v>
      </c>
      <c r="IO12">
        <f>IF('Three Wheeler'!4:4,"AAAAABv+T/g=",0)</f>
        <v>0</v>
      </c>
      <c r="IP12" t="e">
        <f>AND('Three Wheeler'!B4,"AAAAABv+T/k=")</f>
        <v>#VALUE!</v>
      </c>
      <c r="IQ12">
        <f>IF('Three Wheeler'!5:5,"AAAAABv+T/o=",0)</f>
        <v>0</v>
      </c>
      <c r="IR12" t="e">
        <f>AND('Three Wheeler'!B5,"AAAAABv+T/s=")</f>
        <v>#VALUE!</v>
      </c>
      <c r="IS12">
        <f>IF('Three Wheeler'!6:6,"AAAAABv+T/w=",0)</f>
        <v>0</v>
      </c>
      <c r="IT12" t="e">
        <f>AND('Three Wheeler'!B6,"AAAAABv+T/0=")</f>
        <v>#VALUE!</v>
      </c>
      <c r="IU12">
        <f>IF('Three Wheeler'!7:7,"AAAAABv+T/4=",0)</f>
        <v>0</v>
      </c>
      <c r="IV12" t="e">
        <f>AND('Three Wheeler'!B7,"AAAAABv+T/8=")</f>
        <v>#VALUE!</v>
      </c>
    </row>
    <row r="13" spans="1:256" x14ac:dyDescent="0.25">
      <c r="A13">
        <f>IF('Three Wheeler'!8:8,"AAAAAFbzSQA=",0)</f>
        <v>0</v>
      </c>
      <c r="B13" t="e">
        <f>AND('Three Wheeler'!B8,"AAAAAFbzSQE=")</f>
        <v>#VALUE!</v>
      </c>
      <c r="C13">
        <f>IF('Three Wheeler'!9:9,"AAAAAFbzSQI=",0)</f>
        <v>0</v>
      </c>
      <c r="D13" t="e">
        <f>AND('Three Wheeler'!B9,"AAAAAFbzSQM=")</f>
        <v>#VALUE!</v>
      </c>
      <c r="E13">
        <f>IF('Three Wheeler'!10:10,"AAAAAFbzSQQ=",0)</f>
        <v>0</v>
      </c>
      <c r="F13" t="e">
        <f>AND('Three Wheeler'!B10,"AAAAAFbzSQU=")</f>
        <v>#VALUE!</v>
      </c>
      <c r="G13">
        <f>IF('Three Wheeler'!11:11,"AAAAAFbzSQY=",0)</f>
        <v>0</v>
      </c>
      <c r="H13" t="e">
        <f>AND('Three Wheeler'!B11,"AAAAAFbzSQc=")</f>
        <v>#VALUE!</v>
      </c>
      <c r="I13">
        <f>IF('Three Wheeler'!12:12,"AAAAAFbzSQg=",0)</f>
        <v>0</v>
      </c>
      <c r="J13" t="e">
        <f>AND('Three Wheeler'!B12,"AAAAAFbzSQk=")</f>
        <v>#VALUE!</v>
      </c>
      <c r="K13">
        <f>IF('Three Wheeler'!13:13,"AAAAAFbzSQo=",0)</f>
        <v>0</v>
      </c>
      <c r="L13" t="e">
        <f>AND('Three Wheeler'!B13,"AAAAAFbzSQs=")</f>
        <v>#VALUE!</v>
      </c>
      <c r="M13">
        <f>IF('Three Wheeler'!14:14,"AAAAAFbzSQw=",0)</f>
        <v>0</v>
      </c>
      <c r="N13" t="e">
        <f>AND('Three Wheeler'!B14,"AAAAAFbzSQ0=")</f>
        <v>#VALUE!</v>
      </c>
      <c r="O13">
        <f>IF('Three Wheeler'!15:15,"AAAAAFbzSQ4=",0)</f>
        <v>0</v>
      </c>
      <c r="P13" t="e">
        <f>AND('Three Wheeler'!B15,"AAAAAFbzSQ8=")</f>
        <v>#VALUE!</v>
      </c>
      <c r="Q13">
        <f>IF('Three Wheeler'!16:16,"AAAAAFbzSRA=",0)</f>
        <v>0</v>
      </c>
      <c r="R13" t="e">
        <f>AND('Three Wheeler'!B16,"AAAAAFbzSRE=")</f>
        <v>#VALUE!</v>
      </c>
      <c r="S13">
        <f>IF('Three Wheeler'!17:17,"AAAAAFbzSRI=",0)</f>
        <v>0</v>
      </c>
      <c r="T13" t="e">
        <f>AND('Three Wheeler'!B17,"AAAAAFbzSRM=")</f>
        <v>#VALUE!</v>
      </c>
      <c r="U13">
        <f>IF('Three Wheeler'!18:18,"AAAAAFbzSRQ=",0)</f>
        <v>0</v>
      </c>
      <c r="V13" t="e">
        <f>AND('Three Wheeler'!B18,"AAAAAFbzSRU=")</f>
        <v>#VALUE!</v>
      </c>
      <c r="W13">
        <f>IF('Three Wheeler'!19:19,"AAAAAFbzSRY=",0)</f>
        <v>0</v>
      </c>
      <c r="X13" t="e">
        <f>AND('Three Wheeler'!B19,"AAAAAFbzSRc=")</f>
        <v>#VALUE!</v>
      </c>
      <c r="Y13">
        <f>IF('Three Wheeler'!20:20,"AAAAAFbzSRg=",0)</f>
        <v>0</v>
      </c>
      <c r="Z13" t="e">
        <f>AND('Three Wheeler'!B20,"AAAAAFbzSRk=")</f>
        <v>#VALUE!</v>
      </c>
      <c r="AA13">
        <f>IF('Three Wheeler'!21:21,"AAAAAFbzSRo=",0)</f>
        <v>0</v>
      </c>
      <c r="AB13" t="e">
        <f>AND('Three Wheeler'!B21,"AAAAAFbzSRs=")</f>
        <v>#VALUE!</v>
      </c>
      <c r="AC13">
        <f>IF('Three Wheeler'!22:22,"AAAAAFbzSRw=",0)</f>
        <v>0</v>
      </c>
      <c r="AD13" t="e">
        <f>AND('Three Wheeler'!B22,"AAAAAFbzSR0=")</f>
        <v>#VALUE!</v>
      </c>
      <c r="AE13">
        <f>IF('Three Wheeler'!23:23,"AAAAAFbzSR4=",0)</f>
        <v>0</v>
      </c>
      <c r="AF13" t="e">
        <f>AND('Three Wheeler'!B23,"AAAAAFbzSR8=")</f>
        <v>#VALUE!</v>
      </c>
      <c r="AG13">
        <f>IF('Three Wheeler'!24:24,"AAAAAFbzSSA=",0)</f>
        <v>0</v>
      </c>
      <c r="AH13" t="e">
        <f>AND('Three Wheeler'!B24,"AAAAAFbzSSE=")</f>
        <v>#VALUE!</v>
      </c>
      <c r="AI13">
        <f>IF('Three Wheeler'!25:25,"AAAAAFbzSSI=",0)</f>
        <v>0</v>
      </c>
      <c r="AJ13" t="e">
        <f>AND('Three Wheeler'!B25,"AAAAAFbzSSM=")</f>
        <v>#VALUE!</v>
      </c>
      <c r="AK13">
        <f>IF('Three Wheeler'!26:26,"AAAAAFbzSSQ=",0)</f>
        <v>0</v>
      </c>
      <c r="AL13" t="e">
        <f>AND('Three Wheeler'!B26,"AAAAAFbzSSU=")</f>
        <v>#VALUE!</v>
      </c>
      <c r="AM13">
        <f>IF('Three Wheeler'!27:27,"AAAAAFbzSSY=",0)</f>
        <v>0</v>
      </c>
      <c r="AN13" t="e">
        <f>AND('Three Wheeler'!B27,"AAAAAFbzSSc=")</f>
        <v>#VALUE!</v>
      </c>
      <c r="AO13">
        <f>IF('Three Wheeler'!28:28,"AAAAAFbzSSg=",0)</f>
        <v>0</v>
      </c>
      <c r="AP13" t="e">
        <f>AND('Three Wheeler'!B28,"AAAAAFbzSSk=")</f>
        <v>#VALUE!</v>
      </c>
      <c r="AQ13">
        <f>IF('Three Wheeler'!29:29,"AAAAAFbzSSo=",0)</f>
        <v>0</v>
      </c>
      <c r="AR13" t="e">
        <f>AND('Three Wheeler'!B29,"AAAAAFbzSSs=")</f>
        <v>#VALUE!</v>
      </c>
      <c r="AS13">
        <f>IF('Three Wheeler'!30:30,"AAAAAFbzSSw=",0)</f>
        <v>0</v>
      </c>
      <c r="AT13" t="e">
        <f>AND('Three Wheeler'!B30,"AAAAAFbzSS0=")</f>
        <v>#VALUE!</v>
      </c>
      <c r="AU13">
        <f>IF('Three Wheeler'!31:31,"AAAAAFbzSS4=",0)</f>
        <v>0</v>
      </c>
      <c r="AV13" t="e">
        <f>AND('Three Wheeler'!B31,"AAAAAFbzSS8=")</f>
        <v>#VALUE!</v>
      </c>
      <c r="AW13">
        <f>IF('Three Wheeler'!32:32,"AAAAAFbzSTA=",0)</f>
        <v>0</v>
      </c>
      <c r="AX13" t="e">
        <f>AND('Three Wheeler'!B32,"AAAAAFbzSTE=")</f>
        <v>#VALUE!</v>
      </c>
      <c r="AY13">
        <f>IF('Three Wheeler'!33:33,"AAAAAFbzSTI=",0)</f>
        <v>0</v>
      </c>
      <c r="AZ13" t="e">
        <f>AND('Three Wheeler'!B33,"AAAAAFbzSTM=")</f>
        <v>#VALUE!</v>
      </c>
      <c r="BA13">
        <f>IF('Three Wheeler'!A:A,"AAAAAFbzSTQ=",0)</f>
        <v>0</v>
      </c>
      <c r="BB13">
        <f>IF('Three Wheeler'!B:B,"AAAAAFbzSTU=",0)</f>
        <v>0</v>
      </c>
      <c r="BC13">
        <f>IF('Three Wheeler'!C:C,"AAAAAFbzSTY=",0)</f>
        <v>0</v>
      </c>
      <c r="BD13">
        <f>IF('Three Wheeler'!D:D,"AAAAAFbzSTc=",0)</f>
        <v>0</v>
      </c>
      <c r="BE13">
        <f>IF('Three Wheeler'!E:E,"AAAAAFbzSTg=",0)</f>
        <v>0</v>
      </c>
      <c r="BF13">
        <f>IF('Three Wheeler'!F:F,"AAAAAFbzSTk=",0)</f>
        <v>0</v>
      </c>
      <c r="BG13">
        <f>IF('Three Wheeler'!G:G,"AAAAAFbzSTo=",0)</f>
        <v>0</v>
      </c>
      <c r="BH13">
        <f>IF('Three Wheeler'!H:H,"AAAAAFbzSTs=",0)</f>
        <v>0</v>
      </c>
      <c r="BI13">
        <f>IF('Three Wheeler'!I:I,"AAAAAFbzSTw=",0)</f>
        <v>0</v>
      </c>
      <c r="BJ13">
        <f>IF('Three Wheeler'!J:J,"AAAAAFbzST0=",0)</f>
        <v>0</v>
      </c>
      <c r="BK13">
        <f>IF('Three Wheeler'!K:K,"AAAAAFbzST4=",0)</f>
        <v>0</v>
      </c>
      <c r="BL13">
        <f>IF('Three Wheeler'!L:L,"AAAAAFbzST8=",0)</f>
        <v>0</v>
      </c>
      <c r="BM13">
        <f>IF('Three Wheeler'!M:M,"AAAAAFbzSUA=",0)</f>
        <v>0</v>
      </c>
      <c r="BN13">
        <f>IF('Three Wheeler'!N:N,"AAAAAFbzSUE=",0)</f>
        <v>0</v>
      </c>
      <c r="BO13">
        <f>IF('Three Wheeler'!O:O,"AAAAAFbzSUI=",0)</f>
        <v>0</v>
      </c>
      <c r="BP13">
        <f>IF('Three Wheeler'!P:P,"AAAAAFbzSUM=",0)</f>
        <v>0</v>
      </c>
      <c r="BQ13">
        <f>IF('Three Wheeler'!Q:Q,"AAAAAFbzSUQ=",0)</f>
        <v>0</v>
      </c>
      <c r="BR13">
        <f>IF('Three Wheeler'!R:R,"AAAAAFbzSUU=",0)</f>
        <v>0</v>
      </c>
      <c r="BS13">
        <f>IF('Three Wheeler'!S:S,"AAAAAFbzSUY=",0)</f>
        <v>0</v>
      </c>
      <c r="BT13">
        <f>IF('Three Wheeler'!T:T,"AAAAAFbzSUc=",0)</f>
        <v>0</v>
      </c>
      <c r="BU13">
        <f>IF('Three Wheeler'!U:U,"AAAAAFbzSUg=",0)</f>
        <v>0</v>
      </c>
      <c r="BV13">
        <f>IF('Three Wheeler'!V:V,"AAAAAFbzSUk=",0)</f>
        <v>0</v>
      </c>
      <c r="BW13">
        <f>IF('Three Wheeler'!W:W,"AAAAAFbzSUo=",0)</f>
        <v>0</v>
      </c>
      <c r="BX13">
        <f>IF('Three Wheeler'!X:X,"AAAAAFbzSUs=",0)</f>
        <v>0</v>
      </c>
      <c r="BY13">
        <f>IF('Three Wheeler'!Y:Y,"AAAAAFbzSUw=",0)</f>
        <v>0</v>
      </c>
      <c r="BZ13">
        <f>IF('Three Wheeler'!Z:Z,"AAAAAFbzSU0=",0)</f>
        <v>0</v>
      </c>
      <c r="CA13">
        <f>IF('Three Wheeler'!AA:AA,"AAAAAFbzSU4=",0)</f>
        <v>0</v>
      </c>
      <c r="CB13">
        <f>IF('Three Wheeler'!AB:AB,"AAAAAFbzSU8=",0)</f>
        <v>0</v>
      </c>
      <c r="CC13">
        <f>IF('Three Wheeler'!AC:AC,"AAAAAFbzSVA=",0)</f>
        <v>0</v>
      </c>
      <c r="CD13">
        <f>IF('Three Wheeler'!AD:AD,"AAAAAFbzSVE=",0)</f>
        <v>0</v>
      </c>
      <c r="CE13">
        <f>IF('Three Wheeler'!AE:AE,"AAAAAFbzSVI=",0)</f>
        <v>0</v>
      </c>
      <c r="CF13" s="10" t="s">
        <v>38</v>
      </c>
      <c r="CG13" t="s">
        <v>39</v>
      </c>
      <c r="CH13" s="4" t="s">
        <v>40</v>
      </c>
    </row>
  </sheetData>
  <phoneticPr fontId="3" type="noConversion"/>
  <pageMargins left="0.75" right="0.75" top="1" bottom="1" header="0.5" footer="0.5"/>
  <headerFooter alignWithMargins="0"/>
  <customProperties>
    <customPr name="DVSECTION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 </vt:lpstr>
      <vt:lpstr>Passenger Vehicle</vt:lpstr>
      <vt:lpstr>Commercial Vehicle</vt:lpstr>
      <vt:lpstr>Three Wheeler</vt:lpstr>
      <vt:lpstr>2 wheeler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Shikha Tripathi</dc:creator>
  <cp:lastModifiedBy>Admin</cp:lastModifiedBy>
  <cp:lastPrinted>2010-08-09T10:53:21Z</cp:lastPrinted>
  <dcterms:created xsi:type="dcterms:W3CDTF">2001-04-16T08:47:24Z</dcterms:created>
  <dcterms:modified xsi:type="dcterms:W3CDTF">2023-01-18T07:14:28Z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1X_j1B1xfrzIzjLx5o69BfPTgda-a1Gla_gRCc2Eumpo</vt:lpwstr>
  </property>
  <property fmtid="{D5CDD505-2E9C-101B-9397-08002B2CF9AE}" pid="4" name="Google.Documents.RevisionId">
    <vt:lpwstr>13009228546024765262</vt:lpwstr>
  </property>
  <property fmtid="{D5CDD505-2E9C-101B-9397-08002B2CF9AE}" pid="5" name="Google.Documents.PreviousRevisionId">
    <vt:lpwstr>03385993198582085805</vt:lpwstr>
  </property>
  <property fmtid="{D5CDD505-2E9C-101B-9397-08002B2CF9AE}" pid="6" name="Google.Documents.PluginVersion">
    <vt:lpwstr>2.0.2026.3768</vt:lpwstr>
  </property>
  <property fmtid="{D5CDD505-2E9C-101B-9397-08002B2CF9AE}" pid="7" name="Google.Documents.MergeIncapabilityFlags">
    <vt:i4>0</vt:i4>
  </property>
</Properties>
</file>