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<sst xmlns="http://schemas.openxmlformats.org/spreadsheetml/2006/main" count="303" uniqueCount="45">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</sst>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2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1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</c:numCache>
            </c:numRef>
          </c:val>
        </c:ser>
        <c:axId val="23931174"/>
        <c:axId val="32792607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-0.22317596566523606</c:v>
                </c:pt>
                <c:pt idx="6">
                  <c:v>-0.30472103004291845</c:v>
                </c:pt>
                <c:pt idx="7">
                  <c:v>-0.07446808510638298</c:v>
                </c:pt>
                <c:pt idx="8">
                  <c:v>-0.12290502793296089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7556108"/>
        <c:axId val="33133949"/>
      </c:lineChart>
      <c:catAx>
        <c:axId val="2393117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607"/>
        <c:crosses val="autoZero"/>
        <c:auto val="1"/>
        <c:lblOffset val="100"/>
        <c:tickLblSkip val="1"/>
        <c:noMultiLvlLbl val="0"/>
      </c:catAx>
      <c:valAx>
        <c:axId val="327926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74"/>
        <c:crossesAt val="1"/>
        <c:crossBetween val="between"/>
        <c:dispUnits/>
      </c:valAx>
      <c:catAx>
        <c:axId val="17556108"/>
        <c:scaling>
          <c:orientation val="minMax"/>
        </c:scaling>
        <c:axPos val="b"/>
        <c:delete val="1"/>
        <c:majorTickMark val="out"/>
        <c:minorTickMark val="none"/>
        <c:tickLblPos val="nextTo"/>
        <c:crossAx val="33133949"/>
        <c:crosses val="autoZero"/>
        <c:auto val="1"/>
        <c:lblOffset val="100"/>
        <c:tickLblSkip val="1"/>
        <c:noMultiLvlLbl val="0"/>
      </c:catAx>
      <c:valAx>
        <c:axId val="33133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61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</c:numCache>
            </c:numRef>
          </c:val>
        </c:ser>
        <c:axId val="39848226"/>
        <c:axId val="31506379"/>
      </c:barChart>
      <c:lineChart>
        <c:grouping val="standard"/>
        <c:varyColors val="0"/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-0.22580645161290322</c:v>
                </c:pt>
                <c:pt idx="6">
                  <c:v>-0.09836065573770492</c:v>
                </c:pt>
                <c:pt idx="7">
                  <c:v>-0.058823529411764705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654184"/>
        <c:axId val="2778313"/>
      </c:lineChart>
      <c:catAx>
        <c:axId val="398482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6379"/>
        <c:crosses val="autoZero"/>
        <c:auto val="1"/>
        <c:lblOffset val="100"/>
        <c:tickLblSkip val="1"/>
        <c:noMultiLvlLbl val="0"/>
      </c:catAx>
      <c:valAx>
        <c:axId val="315063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8226"/>
        <c:crossesAt val="1"/>
        <c:crossBetween val="between"/>
        <c:dispUnits/>
      </c:valAx>
      <c:catAx>
        <c:axId val="57654184"/>
        <c:scaling>
          <c:orientation val="minMax"/>
        </c:scaling>
        <c:axPos val="b"/>
        <c:delete val="1"/>
        <c:majorTickMark val="out"/>
        <c:minorTickMark val="none"/>
        <c:tickLblPos val="nextTo"/>
        <c:crossAx val="2778313"/>
        <c:crosses val="autoZero"/>
        <c:auto val="1"/>
        <c:lblOffset val="100"/>
        <c:tickLblSkip val="1"/>
        <c:noMultiLvlLbl val="0"/>
      </c:catAx>
      <c:valAx>
        <c:axId val="277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41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Data!$C$56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</c:numCache>
            </c:numRef>
          </c:val>
        </c:ser>
        <c:axId val="58344574"/>
        <c:axId val="17276503"/>
      </c:barChart>
      <c:lineChart>
        <c:grouping val="standard"/>
        <c:varyColors val="0"/>
        <c:ser>
          <c:idx val="2"/>
          <c:order val="2"/>
          <c:tx>
            <c:strRef>
              <c:f>Data!$D$56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-0.00847457627118644</c:v>
                </c:pt>
                <c:pt idx="6">
                  <c:v>-0.16393442622950818</c:v>
                </c:pt>
                <c:pt idx="7">
                  <c:v>0.07</c:v>
                </c:pt>
                <c:pt idx="8">
                  <c:v>0.13414634146341464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262244"/>
        <c:axId val="35636213"/>
      </c:lineChart>
      <c:catAx>
        <c:axId val="5834457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6503"/>
        <c:crosses val="autoZero"/>
        <c:auto val="1"/>
        <c:lblOffset val="100"/>
        <c:tickLblSkip val="1"/>
        <c:noMultiLvlLbl val="0"/>
      </c:catAx>
      <c:valAx>
        <c:axId val="172765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4574"/>
        <c:crossesAt val="1"/>
        <c:crossBetween val="between"/>
        <c:dispUnits/>
      </c:valAx>
      <c:catAx>
        <c:axId val="27262244"/>
        <c:scaling>
          <c:orientation val="minMax"/>
        </c:scaling>
        <c:axPos val="b"/>
        <c:delete val="1"/>
        <c:majorTickMark val="out"/>
        <c:minorTickMark val="none"/>
        <c:tickLblPos val="nextTo"/>
        <c:crossAx val="35636213"/>
        <c:crosses val="autoZero"/>
        <c:auto val="1"/>
        <c:lblOffset val="100"/>
        <c:tickLblSkip val="1"/>
        <c:noMultiLvlLbl val="0"/>
      </c:catAx>
      <c:valAx>
        <c:axId val="35636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22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Data!$H$56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</c:numCache>
            </c:numRef>
          </c:val>
        </c:ser>
        <c:axId val="10162970"/>
        <c:axId val="12095779"/>
      </c:barChart>
      <c:lineChart>
        <c:grouping val="standard"/>
        <c:varyColors val="0"/>
        <c:ser>
          <c:idx val="2"/>
          <c:order val="2"/>
          <c:tx>
            <c:strRef>
              <c:f>Data!$I$56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-0.059322033898305086</c:v>
                </c:pt>
                <c:pt idx="6">
                  <c:v>-0.08196721311475409</c:v>
                </c:pt>
                <c:pt idx="7">
                  <c:v>0.04</c:v>
                </c:pt>
                <c:pt idx="8">
                  <c:v>0.14457831325301204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684768"/>
        <c:axId val="32638305"/>
      </c:lineChart>
      <c:catAx>
        <c:axId val="101629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5779"/>
        <c:crosses val="autoZero"/>
        <c:auto val="1"/>
        <c:lblOffset val="100"/>
        <c:tickLblSkip val="1"/>
        <c:noMultiLvlLbl val="0"/>
      </c:catAx>
      <c:valAx>
        <c:axId val="120957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2970"/>
        <c:crossesAt val="1"/>
        <c:crossBetween val="between"/>
        <c:dispUnits/>
      </c:valAx>
      <c:catAx>
        <c:axId val="52684768"/>
        <c:scaling>
          <c:orientation val="minMax"/>
        </c:scaling>
        <c:axPos val="b"/>
        <c:delete val="1"/>
        <c:majorTickMark val="out"/>
        <c:minorTickMark val="none"/>
        <c:tickLblPos val="nextTo"/>
        <c:crossAx val="32638305"/>
        <c:crosses val="autoZero"/>
        <c:auto val="1"/>
        <c:lblOffset val="100"/>
        <c:tickLblSkip val="1"/>
        <c:noMultiLvlLbl val="0"/>
      </c:catAx>
      <c:valAx>
        <c:axId val="32638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847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Data!$C$39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</c:numCache>
            </c:numRef>
          </c:val>
        </c:ser>
        <c:axId val="14315766"/>
        <c:axId val="32195631"/>
      </c:barChart>
      <c:lineChart>
        <c:grouping val="standard"/>
        <c:varyColors val="0"/>
        <c:ser>
          <c:idx val="2"/>
          <c:order val="2"/>
          <c:tx>
            <c:strRef>
              <c:f>Data!$D$39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-0.15752461322081576</c:v>
                </c:pt>
                <c:pt idx="6">
                  <c:v>-0.2536873156342183</c:v>
                </c:pt>
                <c:pt idx="7">
                  <c:v>-0.060810810810810814</c:v>
                </c:pt>
                <c:pt idx="8">
                  <c:v>-0.04859335038363171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019612"/>
        <c:axId val="38302989"/>
      </c:lineChart>
      <c:catAx>
        <c:axId val="1431576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5631"/>
        <c:crosses val="autoZero"/>
        <c:auto val="1"/>
        <c:lblOffset val="100"/>
        <c:tickLblSkip val="1"/>
        <c:noMultiLvlLbl val="0"/>
      </c:catAx>
      <c:valAx>
        <c:axId val="3219563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5766"/>
        <c:crossesAt val="1"/>
        <c:crossBetween val="between"/>
        <c:dispUnits/>
      </c:valAx>
      <c:catAx>
        <c:axId val="501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38302989"/>
        <c:crosses val="autoZero"/>
        <c:auto val="1"/>
        <c:lblOffset val="100"/>
        <c:tickLblSkip val="1"/>
        <c:noMultiLvlLbl val="0"/>
      </c:catAx>
      <c:valAx>
        <c:axId val="38302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96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Data!$H$39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</c:numCache>
            </c:numRef>
          </c:val>
        </c:ser>
        <c:axId val="66165266"/>
        <c:axId val="47293307"/>
      </c:barChart>
      <c:lineChart>
        <c:grouping val="standard"/>
        <c:varyColors val="0"/>
        <c:ser>
          <c:idx val="2"/>
          <c:order val="2"/>
          <c:tx>
            <c:strRef>
              <c:f>Data!$I$39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-0.16312056737588654</c:v>
                </c:pt>
                <c:pt idx="6">
                  <c:v>-0.09185185185185185</c:v>
                </c:pt>
                <c:pt idx="7">
                  <c:v>-0.11636363636363636</c:v>
                </c:pt>
                <c:pt idx="8">
                  <c:v>-0.23556581986143188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635352"/>
        <c:axId val="52600569"/>
      </c:lineChart>
      <c:catAx>
        <c:axId val="6616526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3307"/>
        <c:crosses val="autoZero"/>
        <c:auto val="1"/>
        <c:lblOffset val="100"/>
        <c:tickLblSkip val="1"/>
        <c:noMultiLvlLbl val="0"/>
      </c:catAx>
      <c:valAx>
        <c:axId val="472933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5266"/>
        <c:crossesAt val="1"/>
        <c:crossBetween val="between"/>
        <c:dispUnits/>
      </c:valAx>
      <c:catAx>
        <c:axId val="53635352"/>
        <c:scaling>
          <c:orientation val="minMax"/>
        </c:scaling>
        <c:axPos val="b"/>
        <c:delete val="1"/>
        <c:majorTickMark val="out"/>
        <c:minorTickMark val="none"/>
        <c:tickLblPos val="nextTo"/>
        <c:crossAx val="52600569"/>
        <c:crosses val="autoZero"/>
        <c:auto val="1"/>
        <c:lblOffset val="100"/>
        <c:tickLblSkip val="1"/>
        <c:noMultiLvlLbl val="0"/>
      </c:catAx>
      <c:valAx>
        <c:axId val="52600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353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Data!$M$39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</c:numCache>
            </c:numRef>
          </c:val>
        </c:ser>
        <c:axId val="30870126"/>
        <c:axId val="44292871"/>
      </c:barChart>
      <c:lineChart>
        <c:grouping val="standard"/>
        <c:varyColors val="0"/>
        <c:ser>
          <c:idx val="2"/>
          <c:order val="2"/>
          <c:tx>
            <c:strRef>
              <c:f>Data!$N$39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-0.18930817610062894</c:v>
                </c:pt>
                <c:pt idx="6">
                  <c:v>-0.2605945604048071</c:v>
                </c:pt>
                <c:pt idx="7">
                  <c:v>0.0032</c:v>
                </c:pt>
                <c:pt idx="8">
                  <c:v>-0.06565176022835395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735060"/>
        <c:axId val="4476709"/>
      </c:lineChart>
      <c:catAx>
        <c:axId val="308701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2871"/>
        <c:crosses val="autoZero"/>
        <c:auto val="1"/>
        <c:lblOffset val="100"/>
        <c:tickLblSkip val="1"/>
        <c:noMultiLvlLbl val="0"/>
      </c:catAx>
      <c:valAx>
        <c:axId val="4429287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0126"/>
        <c:crossesAt val="1"/>
        <c:crossBetween val="between"/>
        <c:dispUnits/>
      </c:valAx>
      <c:catAx>
        <c:axId val="57735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476709"/>
        <c:crosses val="autoZero"/>
        <c:auto val="1"/>
        <c:lblOffset val="100"/>
        <c:tickLblSkip val="1"/>
        <c:noMultiLvlLbl val="0"/>
      </c:catAx>
      <c:valAx>
        <c:axId val="4476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50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Data!$R$39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</c:numCache>
            </c:numRef>
          </c:val>
        </c:ser>
        <c:axId val="26902026"/>
        <c:axId val="28071635"/>
      </c:barChart>
      <c:lineChart>
        <c:grouping val="standard"/>
        <c:varyColors val="0"/>
        <c:ser>
          <c:idx val="2"/>
          <c:order val="2"/>
          <c:tx>
            <c:strRef>
              <c:f>Data!$S$39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-0.1886209029066172</c:v>
                </c:pt>
                <c:pt idx="6">
                  <c:v>-0.12173358827278521</c:v>
                </c:pt>
                <c:pt idx="7">
                  <c:v>-0.08050513022888714</c:v>
                </c:pt>
                <c:pt idx="8">
                  <c:v>-0.06563706563706563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633424"/>
        <c:axId val="31560081"/>
      </c:lineChart>
      <c:catAx>
        <c:axId val="269020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1635"/>
        <c:crosses val="autoZero"/>
        <c:auto val="1"/>
        <c:lblOffset val="100"/>
        <c:tickLblSkip val="1"/>
        <c:noMultiLvlLbl val="0"/>
      </c:catAx>
      <c:valAx>
        <c:axId val="2807163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02026"/>
        <c:crossesAt val="1"/>
        <c:crossBetween val="between"/>
        <c:dispUnits/>
      </c:valAx>
      <c:catAx>
        <c:axId val="52633424"/>
        <c:scaling>
          <c:orientation val="minMax"/>
        </c:scaling>
        <c:axPos val="b"/>
        <c:delete val="1"/>
        <c:majorTickMark val="out"/>
        <c:minorTickMark val="none"/>
        <c:tickLblPos val="nextTo"/>
        <c:crossAx val="31560081"/>
        <c:crosses val="autoZero"/>
        <c:auto val="1"/>
        <c:lblOffset val="100"/>
        <c:tickLblSkip val="1"/>
        <c:noMultiLvlLbl val="0"/>
      </c:catAx>
      <c:valAx>
        <c:axId val="31560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334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Data!$W$39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</c:numCache>
            </c:numRef>
          </c:val>
        </c:ser>
        <c:axId val="58781926"/>
        <c:axId val="26460895"/>
      </c:barChart>
      <c:lineChart>
        <c:grouping val="standard"/>
        <c:varyColors val="0"/>
        <c:ser>
          <c:idx val="2"/>
          <c:order val="2"/>
          <c:tx>
            <c:strRef>
              <c:f>Data!$X$39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-0.1927710843373494</c:v>
                </c:pt>
                <c:pt idx="6">
                  <c:v>-0.45054945054945056</c:v>
                </c:pt>
                <c:pt idx="7">
                  <c:v>-0.1044776119402985</c:v>
                </c:pt>
                <c:pt idx="8">
                  <c:v>-0.16071428571428573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807884"/>
        <c:axId val="59421245"/>
      </c:lineChart>
      <c:catAx>
        <c:axId val="587819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895"/>
        <c:crosses val="autoZero"/>
        <c:auto val="1"/>
        <c:lblOffset val="100"/>
        <c:tickLblSkip val="1"/>
        <c:noMultiLvlLbl val="0"/>
      </c:catAx>
      <c:valAx>
        <c:axId val="2646089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926"/>
        <c:crossesAt val="1"/>
        <c:crossBetween val="between"/>
        <c:dispUnits/>
      </c:valAx>
      <c:catAx>
        <c:axId val="18807884"/>
        <c:scaling>
          <c:orientation val="minMax"/>
        </c:scaling>
        <c:axPos val="b"/>
        <c:delete val="1"/>
        <c:majorTickMark val="out"/>
        <c:minorTickMark val="none"/>
        <c:tickLblPos val="nextTo"/>
        <c:crossAx val="59421245"/>
        <c:crosses val="autoZero"/>
        <c:auto val="1"/>
        <c:lblOffset val="100"/>
        <c:tickLblSkip val="1"/>
        <c:noMultiLvlLbl val="0"/>
      </c:catAx>
      <c:valAx>
        <c:axId val="59421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78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Data!$AB$39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</c:numCache>
            </c:numRef>
          </c:val>
        </c:ser>
        <c:axId val="39886594"/>
        <c:axId val="32312107"/>
      </c:barChart>
      <c:lineChart>
        <c:grouping val="standard"/>
        <c:varyColors val="0"/>
        <c:ser>
          <c:idx val="2"/>
          <c:order val="2"/>
          <c:tx>
            <c:strRef>
              <c:f>Data!$AC$39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-0.43137254901960786</c:v>
                </c:pt>
                <c:pt idx="6">
                  <c:v>-0.26506024096385544</c:v>
                </c:pt>
                <c:pt idx="7">
                  <c:v>-0.21333333333333335</c:v>
                </c:pt>
                <c:pt idx="8">
                  <c:v>-0.21666666666666667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465608"/>
        <c:axId val="22560041"/>
      </c:lineChart>
      <c:catAx>
        <c:axId val="3988659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2107"/>
        <c:crosses val="autoZero"/>
        <c:auto val="1"/>
        <c:lblOffset val="100"/>
        <c:tickLblSkip val="1"/>
        <c:noMultiLvlLbl val="0"/>
      </c:catAx>
      <c:valAx>
        <c:axId val="323121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594"/>
        <c:crossesAt val="1"/>
        <c:crossBetween val="between"/>
        <c:dispUnits/>
      </c:valAx>
      <c:catAx>
        <c:axId val="746560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60041"/>
        <c:crosses val="autoZero"/>
        <c:auto val="1"/>
        <c:lblOffset val="100"/>
        <c:tickLblSkip val="1"/>
        <c:noMultiLvlLbl val="0"/>
      </c:catAx>
      <c:valAx>
        <c:axId val="22560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56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</c:numCache>
            </c:numRef>
          </c:val>
        </c:ser>
        <c:axId val="24724290"/>
        <c:axId val="49448043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-0.26639344262295084</c:v>
                </c:pt>
                <c:pt idx="6">
                  <c:v>-0.057777777777777775</c:v>
                </c:pt>
                <c:pt idx="7">
                  <c:v>-0.06542056074766354</c:v>
                </c:pt>
                <c:pt idx="8">
                  <c:v>-0.0663265306122449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775944"/>
        <c:axId val="63315049"/>
      </c:lineChart>
      <c:catAx>
        <c:axId val="2472429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8043"/>
        <c:crosses val="autoZero"/>
        <c:auto val="1"/>
        <c:lblOffset val="100"/>
        <c:tickLblSkip val="1"/>
        <c:noMultiLvlLbl val="0"/>
      </c:catAx>
      <c:valAx>
        <c:axId val="4944804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4290"/>
        <c:crossesAt val="1"/>
        <c:crossBetween val="between"/>
        <c:dispUnits/>
      </c:valAx>
      <c:catAx>
        <c:axId val="31775944"/>
        <c:scaling>
          <c:orientation val="minMax"/>
        </c:scaling>
        <c:axPos val="b"/>
        <c:delete val="1"/>
        <c:majorTickMark val="out"/>
        <c:minorTickMark val="none"/>
        <c:tickLblPos val="nextTo"/>
        <c:crossAx val="63315049"/>
        <c:crosses val="autoZero"/>
        <c:auto val="1"/>
        <c:lblOffset val="100"/>
        <c:tickLblSkip val="1"/>
        <c:noMultiLvlLbl val="0"/>
      </c:catAx>
      <c:valAx>
        <c:axId val="63315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59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</c:ser>
        <c:axId val="54547614"/>
        <c:axId val="4649207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-0.3684210526315789</c:v>
                </c:pt>
                <c:pt idx="6">
                  <c:v>-0.5294117647058824</c:v>
                </c:pt>
                <c:pt idx="7">
                  <c:v>-0.42857142857142855</c:v>
                </c:pt>
                <c:pt idx="8">
                  <c:v>-0.6111111111111112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0524484"/>
        <c:axId val="37034389"/>
      </c:lineChart>
      <c:catAx>
        <c:axId val="5454761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207"/>
        <c:crosses val="autoZero"/>
        <c:auto val="1"/>
        <c:lblOffset val="100"/>
        <c:tickLblSkip val="1"/>
        <c:noMultiLvlLbl val="0"/>
      </c:catAx>
      <c:valAx>
        <c:axId val="46492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7614"/>
        <c:crossesAt val="1"/>
        <c:crossBetween val="between"/>
        <c:dispUnits/>
      </c:valAx>
      <c:catAx>
        <c:axId val="30524484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4389"/>
        <c:crosses val="autoZero"/>
        <c:auto val="1"/>
        <c:lblOffset val="100"/>
        <c:tickLblSkip val="1"/>
        <c:noMultiLvlLbl val="0"/>
      </c:catAx>
      <c:valAx>
        <c:axId val="37034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244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</c:numCache>
            </c:numRef>
          </c:val>
        </c:ser>
        <c:axId val="39524666"/>
        <c:axId val="24711619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-0.42105263157894735</c:v>
                </c:pt>
                <c:pt idx="6">
                  <c:v>-0.35294117647058826</c:v>
                </c:pt>
                <c:pt idx="7">
                  <c:v>-0.26666666666666666</c:v>
                </c:pt>
                <c:pt idx="8">
                  <c:v>-0.5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181952"/>
        <c:axId val="26188033"/>
      </c:lineChart>
      <c:catAx>
        <c:axId val="3952466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1619"/>
        <c:crosses val="autoZero"/>
        <c:auto val="1"/>
        <c:lblOffset val="100"/>
        <c:tickLblSkip val="1"/>
        <c:noMultiLvlLbl val="0"/>
      </c:catAx>
      <c:valAx>
        <c:axId val="247116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4666"/>
        <c:crossesAt val="1"/>
        <c:crossBetween val="between"/>
        <c:dispUnits/>
      </c:valAx>
      <c:catAx>
        <c:axId val="49181952"/>
        <c:scaling>
          <c:orientation val="minMax"/>
        </c:scaling>
        <c:axPos val="b"/>
        <c:delete val="1"/>
        <c:majorTickMark val="out"/>
        <c:minorTickMark val="none"/>
        <c:tickLblPos val="nextTo"/>
        <c:crossAx val="26188033"/>
        <c:crosses val="autoZero"/>
        <c:auto val="1"/>
        <c:lblOffset val="100"/>
        <c:tickLblSkip val="1"/>
        <c:noMultiLvlLbl val="0"/>
      </c:catAx>
      <c:valAx>
        <c:axId val="26188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19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</c:numCache>
            </c:numRef>
          </c:val>
        </c:ser>
        <c:axId val="13077782"/>
        <c:axId val="6197967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-0.02247191011235955</c:v>
                </c:pt>
                <c:pt idx="6">
                  <c:v>0.08791208791208792</c:v>
                </c:pt>
                <c:pt idx="7">
                  <c:v>0.4342105263157895</c:v>
                </c:pt>
                <c:pt idx="8">
                  <c:v>0.37681159420289856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048444"/>
        <c:axId val="48948909"/>
      </c:lineChart>
      <c:catAx>
        <c:axId val="1307778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7967"/>
        <c:crosses val="autoZero"/>
        <c:auto val="1"/>
        <c:lblOffset val="100"/>
        <c:tickLblSkip val="1"/>
        <c:noMultiLvlLbl val="0"/>
      </c:catAx>
      <c:valAx>
        <c:axId val="619796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7782"/>
        <c:crossesAt val="1"/>
        <c:crossBetween val="between"/>
        <c:dispUnits/>
      </c:valAx>
      <c:catAx>
        <c:axId val="63048444"/>
        <c:scaling>
          <c:orientation val="minMax"/>
        </c:scaling>
        <c:axPos val="b"/>
        <c:delete val="1"/>
        <c:majorTickMark val="out"/>
        <c:minorTickMark val="none"/>
        <c:tickLblPos val="nextTo"/>
        <c:crossAx val="48948909"/>
        <c:crosses val="autoZero"/>
        <c:auto val="1"/>
        <c:lblOffset val="100"/>
        <c:tickLblSkip val="1"/>
        <c:noMultiLvlLbl val="0"/>
      </c:catAx>
      <c:valAx>
        <c:axId val="48948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8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</c:numCache>
            </c:numRef>
          </c:val>
        </c:ser>
        <c:axId val="21294130"/>
        <c:axId val="44523547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0.07954545454545454</c:v>
                </c:pt>
                <c:pt idx="6">
                  <c:v>0.20212765957446807</c:v>
                </c:pt>
                <c:pt idx="7">
                  <c:v>0.3333333333333333</c:v>
                </c:pt>
                <c:pt idx="8">
                  <c:v>0.30952380952380953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579256"/>
        <c:axId val="39095961"/>
      </c:lineChart>
      <c:catAx>
        <c:axId val="2129413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3547"/>
        <c:crosses val="autoZero"/>
        <c:auto val="1"/>
        <c:lblOffset val="100"/>
        <c:tickLblSkip val="1"/>
        <c:noMultiLvlLbl val="0"/>
      </c:catAx>
      <c:valAx>
        <c:axId val="4452354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4130"/>
        <c:crossesAt val="1"/>
        <c:crossBetween val="between"/>
        <c:dispUnits/>
      </c:valAx>
      <c:catAx>
        <c:axId val="62579256"/>
        <c:scaling>
          <c:orientation val="minMax"/>
        </c:scaling>
        <c:axPos val="b"/>
        <c:delete val="1"/>
        <c:majorTickMark val="out"/>
        <c:minorTickMark val="none"/>
        <c:tickLblPos val="nextTo"/>
        <c:crossAx val="39095961"/>
        <c:crosses val="autoZero"/>
        <c:auto val="1"/>
        <c:lblOffset val="100"/>
        <c:tickLblSkip val="1"/>
        <c:noMultiLvlLbl val="0"/>
      </c:catAx>
      <c:valAx>
        <c:axId val="39095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92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</c:numCache>
            </c:numRef>
          </c:val>
        </c:ser>
        <c:axId val="15708814"/>
        <c:axId val="61449639"/>
      </c:barChart>
      <c:lineChart>
        <c:grouping val="standard"/>
        <c:varyColors val="0"/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-0.7272727272727273</c:v>
                </c:pt>
                <c:pt idx="6">
                  <c:v>-0.7272727272727273</c:v>
                </c:pt>
                <c:pt idx="7">
                  <c:v>-0.45454545454545453</c:v>
                </c:pt>
                <c:pt idx="8">
                  <c:v>-0.3333333333333333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5374004"/>
        <c:axId val="54418629"/>
      </c:lineChart>
      <c:catAx>
        <c:axId val="1570881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9639"/>
        <c:crosses val="autoZero"/>
        <c:auto val="1"/>
        <c:lblOffset val="100"/>
        <c:tickLblSkip val="1"/>
        <c:noMultiLvlLbl val="0"/>
      </c:catAx>
      <c:valAx>
        <c:axId val="614496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8814"/>
        <c:crossesAt val="1"/>
        <c:crossBetween val="between"/>
        <c:dispUnits/>
      </c:valAx>
      <c:catAx>
        <c:axId val="1537400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18629"/>
        <c:crosses val="autoZero"/>
        <c:auto val="1"/>
        <c:lblOffset val="100"/>
        <c:tickLblSkip val="1"/>
        <c:noMultiLvlLbl val="0"/>
      </c:catAx>
      <c:valAx>
        <c:axId val="5441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0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</c:numCache>
            </c:numRef>
          </c:val>
        </c:ser>
        <c:axId val="1940522"/>
        <c:axId val="40750963"/>
      </c:barChart>
      <c:lineChart>
        <c:grouping val="standard"/>
        <c:varyColors val="0"/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-0.5909090909090909</c:v>
                </c:pt>
                <c:pt idx="6">
                  <c:v>-0.5142857142857142</c:v>
                </c:pt>
                <c:pt idx="7">
                  <c:v>-0.36666666666666664</c:v>
                </c:pt>
                <c:pt idx="8">
                  <c:v>-0.3142857142857143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0463856"/>
        <c:axId val="53108017"/>
      </c:lineChart>
      <c:catAx>
        <c:axId val="194052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963"/>
        <c:crosses val="autoZero"/>
        <c:auto val="1"/>
        <c:lblOffset val="100"/>
        <c:tickLblSkip val="1"/>
        <c:noMultiLvlLbl val="0"/>
      </c:catAx>
      <c:valAx>
        <c:axId val="4075096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22"/>
        <c:crossesAt val="1"/>
        <c:crossBetween val="between"/>
        <c:dispUnits/>
      </c:valAx>
      <c:catAx>
        <c:axId val="50463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3108017"/>
        <c:crosses val="autoZero"/>
        <c:auto val="1"/>
        <c:lblOffset val="100"/>
        <c:tickLblSkip val="1"/>
        <c:noMultiLvlLbl val="0"/>
      </c:catAx>
      <c:valAx>
        <c:axId val="53108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38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</c:numCache>
            </c:numRef>
          </c:val>
        </c:ser>
        <c:axId val="41526534"/>
        <c:axId val="66750847"/>
      </c:barChart>
      <c:lineChart>
        <c:grouping val="standard"/>
        <c:varyColors val="0"/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-0.27586206896551724</c:v>
                </c:pt>
                <c:pt idx="6">
                  <c:v>-0.265625</c:v>
                </c:pt>
                <c:pt idx="7">
                  <c:v>0.04081632653061224</c:v>
                </c:pt>
                <c:pt idx="8">
                  <c:v>0.07692307692307693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590508"/>
        <c:axId val="43441117"/>
      </c:lineChart>
      <c:catAx>
        <c:axId val="4152653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847"/>
        <c:crosses val="autoZero"/>
        <c:auto val="1"/>
        <c:lblOffset val="100"/>
        <c:tickLblSkip val="1"/>
        <c:noMultiLvlLbl val="0"/>
      </c:catAx>
      <c:valAx>
        <c:axId val="6675084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6534"/>
        <c:crossesAt val="1"/>
        <c:crossBetween val="between"/>
        <c:dispUnits/>
      </c:valAx>
      <c:catAx>
        <c:axId val="59590508"/>
        <c:scaling>
          <c:orientation val="minMax"/>
        </c:scaling>
        <c:axPos val="b"/>
        <c:delete val="1"/>
        <c:majorTickMark val="out"/>
        <c:minorTickMark val="none"/>
        <c:tickLblPos val="nextTo"/>
        <c:crossAx val="43441117"/>
        <c:crosses val="autoZero"/>
        <c:auto val="1"/>
        <c:lblOffset val="100"/>
        <c:tickLblSkip val="1"/>
        <c:noMultiLvlLbl val="0"/>
      </c:catAx>
      <c:valAx>
        <c:axId val="43441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05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>
        <v>181</v>
      </c>
      <c r="D9" s="4">
        <f t="shared" si="0"/>
        <v>-0.22317596566523606</v>
      </c>
      <c r="F9" t="s">
        <v>5</v>
      </c>
      <c r="G9" s="5">
        <v>244</v>
      </c>
      <c r="H9" s="5">
        <v>179</v>
      </c>
      <c r="I9" s="4">
        <f t="shared" si="1"/>
        <v>-0.26639344262295084</v>
      </c>
      <c r="K9" t="s">
        <v>5</v>
      </c>
      <c r="L9" s="5">
        <v>19</v>
      </c>
      <c r="M9" s="5">
        <v>12</v>
      </c>
      <c r="N9" s="4">
        <f t="shared" si="2"/>
        <v>-0.3684210526315789</v>
      </c>
      <c r="P9" t="s">
        <v>5</v>
      </c>
      <c r="Q9" s="5">
        <v>19</v>
      </c>
      <c r="R9" s="5">
        <v>11</v>
      </c>
      <c r="S9" s="4">
        <f t="shared" si="3"/>
        <v>-0.42105263157894735</v>
      </c>
      <c r="U9" t="s">
        <v>5</v>
      </c>
      <c r="V9" s="5">
        <v>89</v>
      </c>
      <c r="W9" s="5">
        <v>87</v>
      </c>
      <c r="X9" s="4">
        <f t="shared" si="4"/>
        <v>-0.02247191011235955</v>
      </c>
      <c r="Z9" t="s">
        <v>5</v>
      </c>
      <c r="AA9" s="5">
        <v>88</v>
      </c>
      <c r="AB9" s="5">
        <v>95</v>
      </c>
      <c r="AC9" s="4">
        <f t="shared" si="5"/>
        <v>0.07954545454545454</v>
      </c>
    </row>
    <row r="10" spans="1:29" ht="12.75">
      <c r="A10" t="s">
        <v>6</v>
      </c>
      <c r="B10" s="5">
        <v>233</v>
      </c>
      <c r="C10" s="5">
        <v>162</v>
      </c>
      <c r="D10" s="4">
        <f t="shared" si="0"/>
        <v>-0.30472103004291845</v>
      </c>
      <c r="F10" t="s">
        <v>6</v>
      </c>
      <c r="G10" s="5">
        <v>225</v>
      </c>
      <c r="H10" s="5">
        <v>212</v>
      </c>
      <c r="I10" s="4">
        <f t="shared" si="1"/>
        <v>-0.057777777777777775</v>
      </c>
      <c r="K10" t="s">
        <v>6</v>
      </c>
      <c r="L10" s="5">
        <v>17</v>
      </c>
      <c r="M10" s="5">
        <v>8</v>
      </c>
      <c r="N10" s="4">
        <f t="shared" si="2"/>
        <v>-0.5294117647058824</v>
      </c>
      <c r="P10" t="s">
        <v>6</v>
      </c>
      <c r="Q10" s="5">
        <v>17</v>
      </c>
      <c r="R10" s="5">
        <v>11</v>
      </c>
      <c r="S10" s="4">
        <f t="shared" si="3"/>
        <v>-0.35294117647058826</v>
      </c>
      <c r="U10" t="s">
        <v>6</v>
      </c>
      <c r="V10" s="5">
        <v>91</v>
      </c>
      <c r="W10" s="5">
        <v>99</v>
      </c>
      <c r="X10" s="4">
        <f t="shared" si="4"/>
        <v>0.08791208791208792</v>
      </c>
      <c r="Z10" t="s">
        <v>6</v>
      </c>
      <c r="AA10" s="5">
        <v>94</v>
      </c>
      <c r="AB10" s="5">
        <v>113</v>
      </c>
      <c r="AC10" s="4">
        <f t="shared" si="5"/>
        <v>0.20212765957446807</v>
      </c>
    </row>
    <row r="11" spans="1:29" ht="12.75">
      <c r="A11" t="s">
        <v>7</v>
      </c>
      <c r="B11" s="5">
        <v>188</v>
      </c>
      <c r="C11" s="5">
        <v>174</v>
      </c>
      <c r="D11" s="4">
        <f t="shared" si="0"/>
        <v>-0.07446808510638298</v>
      </c>
      <c r="F11" t="s">
        <v>7</v>
      </c>
      <c r="G11" s="5">
        <v>214</v>
      </c>
      <c r="H11" s="5">
        <v>200</v>
      </c>
      <c r="I11" s="4">
        <f t="shared" si="1"/>
        <v>-0.06542056074766354</v>
      </c>
      <c r="K11" t="s">
        <v>7</v>
      </c>
      <c r="L11" s="5">
        <v>14</v>
      </c>
      <c r="M11" s="5">
        <v>8</v>
      </c>
      <c r="N11" s="4">
        <f t="shared" si="2"/>
        <v>-0.42857142857142855</v>
      </c>
      <c r="P11" t="s">
        <v>7</v>
      </c>
      <c r="Q11" s="5">
        <v>15</v>
      </c>
      <c r="R11" s="5">
        <v>11</v>
      </c>
      <c r="S11" s="4">
        <f t="shared" si="3"/>
        <v>-0.26666666666666666</v>
      </c>
      <c r="U11" t="s">
        <v>7</v>
      </c>
      <c r="V11" s="5">
        <v>76</v>
      </c>
      <c r="W11" s="5">
        <v>109</v>
      </c>
      <c r="X11" s="4">
        <f t="shared" si="4"/>
        <v>0.4342105263157895</v>
      </c>
      <c r="Z11" t="s">
        <v>7</v>
      </c>
      <c r="AA11" s="5">
        <v>84</v>
      </c>
      <c r="AB11" s="5">
        <v>112</v>
      </c>
      <c r="AC11" s="4">
        <f t="shared" si="5"/>
        <v>0.3333333333333333</v>
      </c>
    </row>
    <row r="12" spans="1:29" ht="12.75">
      <c r="A12" t="s">
        <v>8</v>
      </c>
      <c r="B12" s="5">
        <v>179</v>
      </c>
      <c r="C12" s="5">
        <v>157</v>
      </c>
      <c r="D12" s="4">
        <f t="shared" si="0"/>
        <v>-0.12290502793296089</v>
      </c>
      <c r="F12" t="s">
        <v>8</v>
      </c>
      <c r="G12" s="5">
        <v>196</v>
      </c>
      <c r="H12" s="5">
        <v>183</v>
      </c>
      <c r="I12" s="4">
        <f t="shared" si="1"/>
        <v>-0.0663265306122449</v>
      </c>
      <c r="K12" t="s">
        <v>8</v>
      </c>
      <c r="L12" s="5">
        <v>18</v>
      </c>
      <c r="M12" s="5">
        <v>7</v>
      </c>
      <c r="N12" s="4">
        <f t="shared" si="2"/>
        <v>-0.6111111111111112</v>
      </c>
      <c r="P12" t="s">
        <v>8</v>
      </c>
      <c r="Q12" s="5">
        <v>18</v>
      </c>
      <c r="R12" s="5">
        <v>9</v>
      </c>
      <c r="S12" s="4">
        <f t="shared" si="3"/>
        <v>-0.5</v>
      </c>
      <c r="U12" t="s">
        <v>8</v>
      </c>
      <c r="V12" s="5">
        <v>69</v>
      </c>
      <c r="W12" s="5">
        <v>95</v>
      </c>
      <c r="X12" s="4">
        <f t="shared" si="4"/>
        <v>0.37681159420289856</v>
      </c>
      <c r="Z12" t="s">
        <v>8</v>
      </c>
      <c r="AA12" s="5">
        <v>84</v>
      </c>
      <c r="AB12" s="5">
        <v>110</v>
      </c>
      <c r="AC12" s="4">
        <f t="shared" si="5"/>
        <v>0.30952380952380953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>
        <v>12</v>
      </c>
      <c r="D28" s="4">
        <f t="shared" si="6"/>
        <v>-0.7272727272727273</v>
      </c>
      <c r="F28" t="s">
        <v>5</v>
      </c>
      <c r="G28" s="5">
        <v>44</v>
      </c>
      <c r="H28" s="5">
        <v>18</v>
      </c>
      <c r="I28" s="4">
        <f t="shared" si="7"/>
        <v>-0.5909090909090909</v>
      </c>
      <c r="K28" t="s">
        <v>5</v>
      </c>
      <c r="L28" s="5">
        <v>58</v>
      </c>
      <c r="M28" s="5">
        <v>42</v>
      </c>
      <c r="N28" s="4">
        <f t="shared" si="8"/>
        <v>-0.27586206896551724</v>
      </c>
      <c r="P28" t="s">
        <v>5</v>
      </c>
      <c r="Q28" s="5">
        <v>62</v>
      </c>
      <c r="R28" s="5">
        <v>48</v>
      </c>
      <c r="S28" s="4">
        <f t="shared" si="9"/>
        <v>-0.22580645161290322</v>
      </c>
    </row>
    <row r="29" spans="1:19" ht="12.75">
      <c r="A29" t="s">
        <v>6</v>
      </c>
      <c r="B29" s="5">
        <v>44</v>
      </c>
      <c r="C29" s="5">
        <v>12</v>
      </c>
      <c r="D29" s="4">
        <f t="shared" si="6"/>
        <v>-0.7272727272727273</v>
      </c>
      <c r="F29" t="s">
        <v>6</v>
      </c>
      <c r="G29" s="5">
        <v>35</v>
      </c>
      <c r="H29" s="5">
        <v>17</v>
      </c>
      <c r="I29" s="4">
        <f t="shared" si="7"/>
        <v>-0.5142857142857142</v>
      </c>
      <c r="K29" t="s">
        <v>6</v>
      </c>
      <c r="L29" s="5">
        <v>64</v>
      </c>
      <c r="M29" s="5">
        <v>47</v>
      </c>
      <c r="N29" s="4">
        <f t="shared" si="8"/>
        <v>-0.265625</v>
      </c>
      <c r="P29" t="s">
        <v>6</v>
      </c>
      <c r="Q29" s="5">
        <v>61</v>
      </c>
      <c r="R29" s="5">
        <v>55</v>
      </c>
      <c r="S29" s="4">
        <f t="shared" si="9"/>
        <v>-0.09836065573770492</v>
      </c>
    </row>
    <row r="30" spans="1:19" ht="12.75">
      <c r="A30" t="s">
        <v>7</v>
      </c>
      <c r="B30" s="5">
        <v>33</v>
      </c>
      <c r="C30" s="5">
        <v>18</v>
      </c>
      <c r="D30" s="4">
        <f t="shared" si="6"/>
        <v>-0.45454545454545453</v>
      </c>
      <c r="F30" t="s">
        <v>7</v>
      </c>
      <c r="G30" s="5">
        <v>30</v>
      </c>
      <c r="H30" s="5">
        <v>19</v>
      </c>
      <c r="I30" s="4">
        <f t="shared" si="7"/>
        <v>-0.36666666666666664</v>
      </c>
      <c r="K30" t="s">
        <v>7</v>
      </c>
      <c r="L30" s="5">
        <v>49</v>
      </c>
      <c r="M30" s="5">
        <v>51</v>
      </c>
      <c r="N30" s="4">
        <f t="shared" si="8"/>
        <v>0.04081632653061224</v>
      </c>
      <c r="P30" t="s">
        <v>7</v>
      </c>
      <c r="Q30" s="5">
        <v>51</v>
      </c>
      <c r="R30" s="5">
        <v>48</v>
      </c>
      <c r="S30" s="4">
        <f t="shared" si="9"/>
        <v>-0.058823529411764705</v>
      </c>
    </row>
    <row r="31" spans="1:19" ht="12.75">
      <c r="A31" t="s">
        <v>8</v>
      </c>
      <c r="B31" s="5">
        <v>30</v>
      </c>
      <c r="C31" s="5">
        <v>20</v>
      </c>
      <c r="D31" s="4">
        <f t="shared" si="6"/>
        <v>-0.3333333333333333</v>
      </c>
      <c r="F31" t="s">
        <v>8</v>
      </c>
      <c r="G31" s="5">
        <v>35</v>
      </c>
      <c r="H31" s="5">
        <v>24</v>
      </c>
      <c r="I31" s="4">
        <f t="shared" si="7"/>
        <v>-0.3142857142857143</v>
      </c>
      <c r="K31" t="s">
        <v>8</v>
      </c>
      <c r="L31" s="5">
        <v>39</v>
      </c>
      <c r="M31" s="5">
        <v>42</v>
      </c>
      <c r="N31" s="4">
        <f t="shared" si="8"/>
        <v>0.07692307692307693</v>
      </c>
      <c r="P31" t="s">
        <v>8</v>
      </c>
      <c r="Q31" s="5">
        <v>48</v>
      </c>
      <c r="R31" s="5">
        <v>48</v>
      </c>
      <c r="S31" s="4">
        <f t="shared" si="9"/>
        <v>0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>
        <v>599</v>
      </c>
      <c r="D45" s="4">
        <f t="shared" si="10"/>
        <v>-0.15752461322081576</v>
      </c>
      <c r="F45" t="s">
        <v>5</v>
      </c>
      <c r="G45" s="5">
        <v>705</v>
      </c>
      <c r="H45" s="5">
        <v>590</v>
      </c>
      <c r="I45" s="4">
        <f t="shared" si="11"/>
        <v>-0.16312056737588654</v>
      </c>
      <c r="K45" t="s">
        <v>5</v>
      </c>
      <c r="L45" s="5">
        <v>1590</v>
      </c>
      <c r="M45" s="5">
        <v>1289</v>
      </c>
      <c r="N45" s="4">
        <f t="shared" si="12"/>
        <v>-0.18930817610062894</v>
      </c>
      <c r="P45" t="s">
        <v>5</v>
      </c>
      <c r="Q45" s="5">
        <v>1617</v>
      </c>
      <c r="R45" s="5">
        <v>1312</v>
      </c>
      <c r="S45" s="4">
        <f t="shared" si="13"/>
        <v>-0.1886209029066172</v>
      </c>
      <c r="U45" t="s">
        <v>5</v>
      </c>
      <c r="V45" s="5">
        <v>83</v>
      </c>
      <c r="W45" s="5">
        <v>67</v>
      </c>
      <c r="X45" s="4">
        <f t="shared" si="14"/>
        <v>-0.1927710843373494</v>
      </c>
      <c r="Z45" t="s">
        <v>5</v>
      </c>
      <c r="AA45" s="5">
        <v>102</v>
      </c>
      <c r="AB45" s="5">
        <v>58</v>
      </c>
      <c r="AC45" s="4">
        <f t="shared" si="15"/>
        <v>-0.43137254901960786</v>
      </c>
    </row>
    <row r="46" spans="1:29" ht="12.75">
      <c r="A46" t="s">
        <v>6</v>
      </c>
      <c r="B46" s="5">
        <v>678</v>
      </c>
      <c r="C46" s="5">
        <v>506</v>
      </c>
      <c r="D46" s="4">
        <f t="shared" si="10"/>
        <v>-0.2536873156342183</v>
      </c>
      <c r="F46" t="s">
        <v>6</v>
      </c>
      <c r="G46" s="5">
        <v>675</v>
      </c>
      <c r="H46" s="5">
        <v>613</v>
      </c>
      <c r="I46" s="4">
        <f t="shared" si="11"/>
        <v>-0.09185185185185185</v>
      </c>
      <c r="K46" t="s">
        <v>6</v>
      </c>
      <c r="L46" s="5">
        <v>1581</v>
      </c>
      <c r="M46" s="5">
        <v>1169</v>
      </c>
      <c r="N46" s="4">
        <f t="shared" si="12"/>
        <v>-0.2605945604048071</v>
      </c>
      <c r="P46" t="s">
        <v>6</v>
      </c>
      <c r="Q46" s="5">
        <v>1569</v>
      </c>
      <c r="R46" s="5">
        <v>1378</v>
      </c>
      <c r="S46" s="4">
        <f t="shared" si="13"/>
        <v>-0.12173358827278521</v>
      </c>
      <c r="U46" t="s">
        <v>6</v>
      </c>
      <c r="V46" s="5">
        <v>91</v>
      </c>
      <c r="W46" s="5">
        <v>50</v>
      </c>
      <c r="X46" s="4">
        <f t="shared" si="14"/>
        <v>-0.45054945054945056</v>
      </c>
      <c r="Z46" t="s">
        <v>6</v>
      </c>
      <c r="AA46" s="5">
        <v>83</v>
      </c>
      <c r="AB46" s="5">
        <v>61</v>
      </c>
      <c r="AC46" s="4">
        <f t="shared" si="15"/>
        <v>-0.26506024096385544</v>
      </c>
    </row>
    <row r="47" spans="1:29" ht="12.75">
      <c r="A47" t="s">
        <v>7</v>
      </c>
      <c r="B47" s="5">
        <v>592</v>
      </c>
      <c r="C47" s="5">
        <v>556</v>
      </c>
      <c r="D47" s="4">
        <f t="shared" si="10"/>
        <v>-0.060810810810810814</v>
      </c>
      <c r="F47" t="s">
        <v>7</v>
      </c>
      <c r="G47" s="5">
        <v>550</v>
      </c>
      <c r="H47" s="5">
        <v>486</v>
      </c>
      <c r="I47" s="4">
        <f t="shared" si="11"/>
        <v>-0.11636363636363636</v>
      </c>
      <c r="K47" t="s">
        <v>7</v>
      </c>
      <c r="L47" s="5">
        <v>1250</v>
      </c>
      <c r="M47" s="5">
        <v>1254</v>
      </c>
      <c r="N47" s="4">
        <f t="shared" si="12"/>
        <v>0.0032</v>
      </c>
      <c r="P47" t="s">
        <v>7</v>
      </c>
      <c r="Q47" s="5">
        <v>1267</v>
      </c>
      <c r="R47" s="5">
        <v>1165</v>
      </c>
      <c r="S47" s="4">
        <f t="shared" si="13"/>
        <v>-0.08050513022888714</v>
      </c>
      <c r="U47" t="s">
        <v>7</v>
      </c>
      <c r="V47" s="5">
        <v>67</v>
      </c>
      <c r="W47" s="5">
        <v>60</v>
      </c>
      <c r="X47" s="4">
        <f t="shared" si="14"/>
        <v>-0.1044776119402985</v>
      </c>
      <c r="Z47" t="s">
        <v>7</v>
      </c>
      <c r="AA47" s="5">
        <v>75</v>
      </c>
      <c r="AB47" s="5">
        <v>59</v>
      </c>
      <c r="AC47" s="4">
        <f t="shared" si="15"/>
        <v>-0.21333333333333335</v>
      </c>
    </row>
    <row r="48" spans="1:29" ht="12.75">
      <c r="A48" t="s">
        <v>8</v>
      </c>
      <c r="B48" s="5">
        <v>391</v>
      </c>
      <c r="C48" s="5">
        <v>372</v>
      </c>
      <c r="D48" s="4">
        <f t="shared" si="10"/>
        <v>-0.04859335038363171</v>
      </c>
      <c r="F48" t="s">
        <v>8</v>
      </c>
      <c r="G48" s="5">
        <v>433</v>
      </c>
      <c r="H48" s="5">
        <v>331</v>
      </c>
      <c r="I48" s="4">
        <f t="shared" si="11"/>
        <v>-0.23556581986143188</v>
      </c>
      <c r="K48" t="s">
        <v>8</v>
      </c>
      <c r="L48" s="5">
        <v>1051</v>
      </c>
      <c r="M48" s="5">
        <v>982</v>
      </c>
      <c r="N48" s="4">
        <f t="shared" si="12"/>
        <v>-0.06565176022835395</v>
      </c>
      <c r="P48" t="s">
        <v>8</v>
      </c>
      <c r="Q48" s="5">
        <v>1036</v>
      </c>
      <c r="R48" s="5">
        <v>968</v>
      </c>
      <c r="S48" s="4">
        <f t="shared" si="13"/>
        <v>-0.06563706563706563</v>
      </c>
      <c r="U48" t="s">
        <v>8</v>
      </c>
      <c r="V48" s="5">
        <v>56</v>
      </c>
      <c r="W48" s="5">
        <v>47</v>
      </c>
      <c r="X48" s="4">
        <f t="shared" si="14"/>
        <v>-0.16071428571428573</v>
      </c>
      <c r="Z48" t="s">
        <v>8</v>
      </c>
      <c r="AA48" s="5">
        <v>60</v>
      </c>
      <c r="AB48" s="5">
        <v>47</v>
      </c>
      <c r="AC48" s="4">
        <f t="shared" si="15"/>
        <v>-0.21666666666666667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>
        <v>117</v>
      </c>
      <c r="D62" s="4">
        <f t="shared" si="16"/>
        <v>-0.00847457627118644</v>
      </c>
      <c r="F62" t="s">
        <v>5</v>
      </c>
      <c r="G62" s="5">
        <v>118</v>
      </c>
      <c r="H62" s="5">
        <v>111</v>
      </c>
      <c r="I62" s="4">
        <f t="shared" si="17"/>
        <v>-0.059322033898305086</v>
      </c>
    </row>
    <row r="63" spans="1:9" ht="12.75">
      <c r="A63" t="s">
        <v>6</v>
      </c>
      <c r="B63" s="5">
        <v>122</v>
      </c>
      <c r="C63" s="5">
        <v>102</v>
      </c>
      <c r="D63" s="4">
        <f t="shared" si="16"/>
        <v>-0.16393442622950818</v>
      </c>
      <c r="F63" t="s">
        <v>6</v>
      </c>
      <c r="G63" s="5">
        <v>122</v>
      </c>
      <c r="H63" s="5">
        <v>112</v>
      </c>
      <c r="I63" s="4">
        <f t="shared" si="17"/>
        <v>-0.08196721311475409</v>
      </c>
    </row>
    <row r="64" spans="1:9" ht="12.75">
      <c r="A64" t="s">
        <v>7</v>
      </c>
      <c r="B64" s="5">
        <v>100</v>
      </c>
      <c r="C64" s="5">
        <v>107</v>
      </c>
      <c r="D64" s="4">
        <f t="shared" si="16"/>
        <v>0.07</v>
      </c>
      <c r="F64" t="s">
        <v>7</v>
      </c>
      <c r="G64" s="5">
        <v>100</v>
      </c>
      <c r="H64" s="5">
        <v>104</v>
      </c>
      <c r="I64" s="4">
        <f t="shared" si="17"/>
        <v>0.04</v>
      </c>
    </row>
    <row r="65" spans="1:9" ht="12.75">
      <c r="A65" t="s">
        <v>8</v>
      </c>
      <c r="B65" s="5">
        <v>82</v>
      </c>
      <c r="C65" s="5">
        <v>93</v>
      </c>
      <c r="D65" s="4">
        <f t="shared" si="16"/>
        <v>0.13414634146341464</v>
      </c>
      <c r="F65" t="s">
        <v>8</v>
      </c>
      <c r="G65" s="5">
        <v>83</v>
      </c>
      <c r="H65" s="5">
        <v>95</v>
      </c>
      <c r="I65" s="4">
        <f t="shared" si="17"/>
        <v>0.14457831325301204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IF(Data!1:1,"AAAAAB/v4QA=",0)</f>
        <v>#VALUE!</v>
      </c>
      <c r="B1" t="e">
        <f>AND(Data!A1,"AAAAAB/v4QE=")</f>
        <v>#VALUE!</v>
      </c>
      <c r="C1" t="e">
        <f>AND(Data!B1,"AAAAAB/v4QI=")</f>
        <v>#VALUE!</v>
      </c>
      <c r="D1" t="e">
        <f>AND(Data!C1,"AAAAAB/v4QM=")</f>
        <v>#VALUE!</v>
      </c>
      <c r="E1" t="e">
        <f>AND(Data!D1,"AAAAAB/v4QQ=")</f>
        <v>#VALUE!</v>
      </c>
      <c r="F1" t="e">
        <f>AND(Data!E1,"AAAAAB/v4QU=")</f>
        <v>#VALUE!</v>
      </c>
      <c r="G1" t="e">
        <f>AND(Data!F1,"AAAAAB/v4QY=")</f>
        <v>#VALUE!</v>
      </c>
      <c r="H1" t="e">
        <f>AND(Data!G1,"AAAAAB/v4Qc=")</f>
        <v>#VALUE!</v>
      </c>
      <c r="I1" t="e">
        <f>AND(Data!H1,"AAAAAB/v4Qg=")</f>
        <v>#VALUE!</v>
      </c>
      <c r="J1" t="e">
        <f>AND(Data!I1,"AAAAAB/v4Qk=")</f>
        <v>#VALUE!</v>
      </c>
      <c r="K1" t="e">
        <f>AND(Data!J1,"AAAAAB/v4Qo=")</f>
        <v>#VALUE!</v>
      </c>
      <c r="L1" t="e">
        <f>AND(Data!K1,"AAAAAB/v4Qs=")</f>
        <v>#VALUE!</v>
      </c>
      <c r="M1" t="e">
        <f>AND(Data!L1,"AAAAAB/v4Qw=")</f>
        <v>#VALUE!</v>
      </c>
      <c r="N1" t="e">
        <f>AND(Data!M1,"AAAAAB/v4Q0=")</f>
        <v>#VALUE!</v>
      </c>
      <c r="O1" t="e">
        <f>AND(Data!N1,"AAAAAB/v4Q4=")</f>
        <v>#VALUE!</v>
      </c>
      <c r="P1" t="e">
        <f>AND(Data!O1,"AAAAAB/v4Q8=")</f>
        <v>#VALUE!</v>
      </c>
      <c r="Q1" t="e">
        <f>AND(Data!P1,"AAAAAB/v4RA=")</f>
        <v>#VALUE!</v>
      </c>
      <c r="R1" t="e">
        <f>AND(Data!Q1,"AAAAAB/v4RE=")</f>
        <v>#VALUE!</v>
      </c>
      <c r="S1" t="e">
        <f>AND(Data!R1,"AAAAAB/v4RI=")</f>
        <v>#VALUE!</v>
      </c>
      <c r="T1" t="e">
        <f>AND(Data!S1,"AAAAAB/v4RM=")</f>
        <v>#VALUE!</v>
      </c>
      <c r="U1" t="e">
        <f>AND(Data!T1,"AAAAAB/v4RQ=")</f>
        <v>#VALUE!</v>
      </c>
      <c r="V1" t="e">
        <f>AND(Data!U1,"AAAAAB/v4RU=")</f>
        <v>#VALUE!</v>
      </c>
      <c r="W1" t="e">
        <f>AND(Data!V1,"AAAAAB/v4RY=")</f>
        <v>#VALUE!</v>
      </c>
      <c r="X1" t="e">
        <f>AND(Data!W1,"AAAAAB/v4Rc=")</f>
        <v>#VALUE!</v>
      </c>
      <c r="Y1" t="e">
        <f>AND(Data!X1,"AAAAAB/v4Rg=")</f>
        <v>#VALUE!</v>
      </c>
      <c r="Z1" t="e">
        <f>AND(Data!Y1,"AAAAAB/v4Rk=")</f>
        <v>#VALUE!</v>
      </c>
      <c r="AA1" t="e">
        <f>AND(Data!Z1,"AAAAAB/v4Ro=")</f>
        <v>#VALUE!</v>
      </c>
      <c r="AB1" t="e">
        <f>AND(Data!AA1,"AAAAAB/v4Rs=")</f>
        <v>#VALUE!</v>
      </c>
      <c r="AC1" t="e">
        <f>AND(Data!AB1,"AAAAAB/v4Rw=")</f>
        <v>#VALUE!</v>
      </c>
      <c r="AD1" t="e">
        <f>AND(Data!AC1,"AAAAAB/v4R0=")</f>
        <v>#VALUE!</v>
      </c>
      <c r="AE1" t="e">
        <f>AND(Data!#REF!,"AAAAAB/v4R4=")</f>
        <v>#REF!</v>
      </c>
      <c r="AF1" t="e">
        <f>AND(Data!#REF!,"AAAAAB/v4R8=")</f>
        <v>#REF!</v>
      </c>
      <c r="AG1" t="e">
        <f>AND(Data!#REF!,"AAAAAB/v4SA=")</f>
        <v>#REF!</v>
      </c>
      <c r="AH1" t="e">
        <f>AND(Data!#REF!,"AAAAAB/v4SE=")</f>
        <v>#REF!</v>
      </c>
      <c r="AI1" t="e">
        <f>AND(Data!#REF!,"AAAAAB/v4SI=")</f>
        <v>#REF!</v>
      </c>
      <c r="AJ1" t="e">
        <f>AND(Data!#REF!,"AAAAAB/v4SM=")</f>
        <v>#REF!</v>
      </c>
      <c r="AK1" t="e">
        <f>AND(Data!#REF!,"AAAAAB/v4SQ=")</f>
        <v>#REF!</v>
      </c>
      <c r="AL1" t="e">
        <f>AND(Data!#REF!,"AAAAAB/v4SU=")</f>
        <v>#REF!</v>
      </c>
      <c r="AM1" t="e">
        <f>AND(Data!#REF!,"AAAAAB/v4SY=")</f>
        <v>#REF!</v>
      </c>
      <c r="AN1" t="e">
        <f>AND(Data!#REF!,"AAAAAB/v4Sc=")</f>
        <v>#REF!</v>
      </c>
      <c r="AO1">
        <f>IF(Data!2:2,"AAAAAB/v4Sg=",0)</f>
        <v>0</v>
      </c>
      <c r="AP1" t="e">
        <f>AND(Data!A2,"AAAAAB/v4Sk=")</f>
        <v>#VALUE!</v>
      </c>
      <c r="AQ1" t="e">
        <f>AND(Data!B2,"AAAAAB/v4So=")</f>
        <v>#VALUE!</v>
      </c>
      <c r="AR1" t="e">
        <f>AND(Data!C2,"AAAAAB/v4Ss=")</f>
        <v>#VALUE!</v>
      </c>
      <c r="AS1" t="e">
        <f>AND(Data!D2,"AAAAAB/v4Sw=")</f>
        <v>#VALUE!</v>
      </c>
      <c r="AT1" t="e">
        <f>AND(Data!E2,"AAAAAB/v4S0=")</f>
        <v>#VALUE!</v>
      </c>
      <c r="AU1" t="e">
        <f>AND(Data!F2,"AAAAAB/v4S4=")</f>
        <v>#VALUE!</v>
      </c>
      <c r="AV1" t="e">
        <f>AND(Data!G2,"AAAAAB/v4S8=")</f>
        <v>#VALUE!</v>
      </c>
      <c r="AW1" t="e">
        <f>AND(Data!H2,"AAAAAB/v4TA=")</f>
        <v>#VALUE!</v>
      </c>
      <c r="AX1" t="e">
        <f>AND(Data!I2,"AAAAAB/v4TE=")</f>
        <v>#VALUE!</v>
      </c>
      <c r="AY1" t="e">
        <f>AND(Data!J2,"AAAAAB/v4TI=")</f>
        <v>#VALUE!</v>
      </c>
      <c r="AZ1" t="e">
        <f>AND(Data!K2,"AAAAAB/v4TM=")</f>
        <v>#VALUE!</v>
      </c>
      <c r="BA1" t="e">
        <f>AND(Data!L2,"AAAAAB/v4TQ=")</f>
        <v>#VALUE!</v>
      </c>
      <c r="BB1" t="e">
        <f>AND(Data!M2,"AAAAAB/v4TU=")</f>
        <v>#VALUE!</v>
      </c>
      <c r="BC1" t="e">
        <f>AND(Data!N2,"AAAAAB/v4TY=")</f>
        <v>#VALUE!</v>
      </c>
      <c r="BD1" t="e">
        <f>AND(Data!O2,"AAAAAB/v4Tc=")</f>
        <v>#VALUE!</v>
      </c>
      <c r="BE1" t="e">
        <f>AND(Data!P2,"AAAAAB/v4Tg=")</f>
        <v>#VALUE!</v>
      </c>
      <c r="BF1" t="e">
        <f>AND(Data!Q2,"AAAAAB/v4Tk=")</f>
        <v>#VALUE!</v>
      </c>
      <c r="BG1" t="e">
        <f>AND(Data!R2,"AAAAAB/v4To=")</f>
        <v>#VALUE!</v>
      </c>
      <c r="BH1" t="e">
        <f>AND(Data!S2,"AAAAAB/v4Ts=")</f>
        <v>#VALUE!</v>
      </c>
      <c r="BI1" t="e">
        <f>AND(Data!T2,"AAAAAB/v4Tw=")</f>
        <v>#VALUE!</v>
      </c>
      <c r="BJ1" t="e">
        <f>AND(Data!U2,"AAAAAB/v4T0=")</f>
        <v>#VALUE!</v>
      </c>
      <c r="BK1" t="e">
        <f>AND(Data!V2,"AAAAAB/v4T4=")</f>
        <v>#VALUE!</v>
      </c>
      <c r="BL1" t="e">
        <f>AND(Data!W2,"AAAAAB/v4T8=")</f>
        <v>#VALUE!</v>
      </c>
      <c r="BM1" t="e">
        <f>AND(Data!X2,"AAAAAB/v4UA=")</f>
        <v>#VALUE!</v>
      </c>
      <c r="BN1" t="e">
        <f>AND(Data!Y2,"AAAAAB/v4UE=")</f>
        <v>#VALUE!</v>
      </c>
      <c r="BO1" t="e">
        <f>AND(Data!Z2,"AAAAAB/v4UI=")</f>
        <v>#VALUE!</v>
      </c>
      <c r="BP1" t="e">
        <f>AND(Data!AA2,"AAAAAB/v4UM=")</f>
        <v>#VALUE!</v>
      </c>
      <c r="BQ1" t="e">
        <f>AND(Data!AB2,"AAAAAB/v4UQ=")</f>
        <v>#VALUE!</v>
      </c>
      <c r="BR1" t="e">
        <f>AND(Data!AC2,"AAAAAB/v4UU=")</f>
        <v>#VALUE!</v>
      </c>
      <c r="BS1" t="e">
        <f>AND(Data!#REF!,"AAAAAB/v4UY=")</f>
        <v>#REF!</v>
      </c>
      <c r="BT1" t="e">
        <f>AND(Data!#REF!,"AAAAAB/v4Uc=")</f>
        <v>#REF!</v>
      </c>
      <c r="BU1" t="e">
        <f>AND(Data!#REF!,"AAAAAB/v4Ug=")</f>
        <v>#REF!</v>
      </c>
      <c r="BV1" t="e">
        <f>AND(Data!#REF!,"AAAAAB/v4Uk=")</f>
        <v>#REF!</v>
      </c>
      <c r="BW1" t="e">
        <f>AND(Data!#REF!,"AAAAAB/v4Uo=")</f>
        <v>#REF!</v>
      </c>
      <c r="BX1" t="e">
        <f>AND(Data!#REF!,"AAAAAB/v4Us=")</f>
        <v>#REF!</v>
      </c>
      <c r="BY1" t="e">
        <f>AND(Data!#REF!,"AAAAAB/v4Uw=")</f>
        <v>#REF!</v>
      </c>
      <c r="BZ1" t="e">
        <f>AND(Data!#REF!,"AAAAAB/v4U0=")</f>
        <v>#REF!</v>
      </c>
      <c r="CA1" t="e">
        <f>AND(Data!#REF!,"AAAAAB/v4U4=")</f>
        <v>#REF!</v>
      </c>
      <c r="CB1" t="e">
        <f>AND(Data!#REF!,"AAAAAB/v4U8=")</f>
        <v>#REF!</v>
      </c>
      <c r="CC1">
        <f>IF(Data!3:3,"AAAAAB/v4VA=",0)</f>
        <v>0</v>
      </c>
      <c r="CD1" t="e">
        <f>AND(Data!A3,"AAAAAB/v4VE=")</f>
        <v>#VALUE!</v>
      </c>
      <c r="CE1" t="e">
        <f>AND(Data!B3,"AAAAAB/v4VI=")</f>
        <v>#VALUE!</v>
      </c>
      <c r="CF1" t="e">
        <f>AND(Data!C3,"AAAAAB/v4VM=")</f>
        <v>#VALUE!</v>
      </c>
      <c r="CG1" t="e">
        <f>AND(Data!D3,"AAAAAB/v4VQ=")</f>
        <v>#VALUE!</v>
      </c>
      <c r="CH1" t="e">
        <f>AND(Data!E3,"AAAAAB/v4VU=")</f>
        <v>#VALUE!</v>
      </c>
      <c r="CI1" t="e">
        <f>AND(Data!F3,"AAAAAB/v4VY=")</f>
        <v>#VALUE!</v>
      </c>
      <c r="CJ1" t="e">
        <f>AND(Data!G3,"AAAAAB/v4Vc=")</f>
        <v>#VALUE!</v>
      </c>
      <c r="CK1" t="e">
        <f>AND(Data!H3,"AAAAAB/v4Vg=")</f>
        <v>#VALUE!</v>
      </c>
      <c r="CL1" t="e">
        <f>AND(Data!I3,"AAAAAB/v4Vk=")</f>
        <v>#VALUE!</v>
      </c>
      <c r="CM1" t="e">
        <f>AND(Data!J3,"AAAAAB/v4Vo=")</f>
        <v>#VALUE!</v>
      </c>
      <c r="CN1" t="e">
        <f>AND(Data!K3,"AAAAAB/v4Vs=")</f>
        <v>#VALUE!</v>
      </c>
      <c r="CO1" t="e">
        <f>AND(Data!L3,"AAAAAB/v4Vw=")</f>
        <v>#VALUE!</v>
      </c>
      <c r="CP1" t="e">
        <f>AND(Data!M3,"AAAAAB/v4V0=")</f>
        <v>#VALUE!</v>
      </c>
      <c r="CQ1" t="e">
        <f>AND(Data!N3,"AAAAAB/v4V4=")</f>
        <v>#VALUE!</v>
      </c>
      <c r="CR1" t="e">
        <f>AND(Data!O3,"AAAAAB/v4V8=")</f>
        <v>#VALUE!</v>
      </c>
      <c r="CS1" t="e">
        <f>AND(Data!P3,"AAAAAB/v4WA=")</f>
        <v>#VALUE!</v>
      </c>
      <c r="CT1" t="e">
        <f>AND(Data!Q3,"AAAAAB/v4WE=")</f>
        <v>#VALUE!</v>
      </c>
      <c r="CU1" t="e">
        <f>AND(Data!R3,"AAAAAB/v4WI=")</f>
        <v>#VALUE!</v>
      </c>
      <c r="CV1" t="e">
        <f>AND(Data!S3,"AAAAAB/v4WM=")</f>
        <v>#VALUE!</v>
      </c>
      <c r="CW1" t="e">
        <f>AND(Data!T3,"AAAAAB/v4WQ=")</f>
        <v>#VALUE!</v>
      </c>
      <c r="CX1" t="e">
        <f>AND(Data!U3,"AAAAAB/v4WU=")</f>
        <v>#VALUE!</v>
      </c>
      <c r="CY1" t="e">
        <f>AND(Data!V3,"AAAAAB/v4WY=")</f>
        <v>#VALUE!</v>
      </c>
      <c r="CZ1" t="e">
        <f>AND(Data!W3,"AAAAAB/v4Wc=")</f>
        <v>#VALUE!</v>
      </c>
      <c r="DA1" t="e">
        <f>AND(Data!X3,"AAAAAB/v4Wg=")</f>
        <v>#VALUE!</v>
      </c>
      <c r="DB1" t="e">
        <f>AND(Data!Y3,"AAAAAB/v4Wk=")</f>
        <v>#VALUE!</v>
      </c>
      <c r="DC1" t="e">
        <f>AND(Data!Z3,"AAAAAB/v4Wo=")</f>
        <v>#VALUE!</v>
      </c>
      <c r="DD1" t="e">
        <f>AND(Data!AA3,"AAAAAB/v4Ws=")</f>
        <v>#VALUE!</v>
      </c>
      <c r="DE1" t="e">
        <f>AND(Data!AB3,"AAAAAB/v4Ww=")</f>
        <v>#VALUE!</v>
      </c>
      <c r="DF1" t="e">
        <f>AND(Data!AC3,"AAAAAB/v4W0=")</f>
        <v>#VALUE!</v>
      </c>
      <c r="DG1" t="e">
        <f>AND(Data!#REF!,"AAAAAB/v4W4=")</f>
        <v>#REF!</v>
      </c>
      <c r="DH1" t="e">
        <f>AND(Data!#REF!,"AAAAAB/v4W8=")</f>
        <v>#REF!</v>
      </c>
      <c r="DI1" t="e">
        <f>AND(Data!#REF!,"AAAAAB/v4XA=")</f>
        <v>#REF!</v>
      </c>
      <c r="DJ1" t="e">
        <f>AND(Data!#REF!,"AAAAAB/v4XE=")</f>
        <v>#REF!</v>
      </c>
      <c r="DK1" t="e">
        <f>AND(Data!#REF!,"AAAAAB/v4XI=")</f>
        <v>#REF!</v>
      </c>
      <c r="DL1" t="e">
        <f>AND(Data!#REF!,"AAAAAB/v4XM=")</f>
        <v>#REF!</v>
      </c>
      <c r="DM1" t="e">
        <f>AND(Data!#REF!,"AAAAAB/v4XQ=")</f>
        <v>#REF!</v>
      </c>
      <c r="DN1" t="e">
        <f>AND(Data!#REF!,"AAAAAB/v4XU=")</f>
        <v>#REF!</v>
      </c>
      <c r="DO1" t="e">
        <f>AND(Data!#REF!,"AAAAAB/v4XY=")</f>
        <v>#REF!</v>
      </c>
      <c r="DP1" t="e">
        <f>AND(Data!#REF!,"AAAAAB/v4Xc=")</f>
        <v>#REF!</v>
      </c>
      <c r="DQ1">
        <f>IF(Data!4:4,"AAAAAB/v4Xg=",0)</f>
        <v>0</v>
      </c>
      <c r="DR1" t="e">
        <f>AND(Data!A4,"AAAAAB/v4Xk=")</f>
        <v>#VALUE!</v>
      </c>
      <c r="DS1" t="e">
        <f>AND(Data!B4,"AAAAAB/v4Xo=")</f>
        <v>#VALUE!</v>
      </c>
      <c r="DT1" t="e">
        <f>AND(Data!C4,"AAAAAB/v4Xs=")</f>
        <v>#VALUE!</v>
      </c>
      <c r="DU1" t="e">
        <f>AND(Data!D4,"AAAAAB/v4Xw=")</f>
        <v>#VALUE!</v>
      </c>
      <c r="DV1" t="e">
        <f>AND(Data!E4,"AAAAAB/v4X0=")</f>
        <v>#VALUE!</v>
      </c>
      <c r="DW1" t="e">
        <f>AND(Data!F4,"AAAAAB/v4X4=")</f>
        <v>#VALUE!</v>
      </c>
      <c r="DX1" t="e">
        <f>AND(Data!G4,"AAAAAB/v4X8=")</f>
        <v>#VALUE!</v>
      </c>
      <c r="DY1" t="e">
        <f>AND(Data!H4,"AAAAAB/v4YA=")</f>
        <v>#VALUE!</v>
      </c>
      <c r="DZ1" t="e">
        <f>AND(Data!I4,"AAAAAB/v4YE=")</f>
        <v>#VALUE!</v>
      </c>
      <c r="EA1" t="e">
        <f>AND(Data!J4,"AAAAAB/v4YI=")</f>
        <v>#VALUE!</v>
      </c>
      <c r="EB1" t="e">
        <f>AND(Data!K4,"AAAAAB/v4YM=")</f>
        <v>#VALUE!</v>
      </c>
      <c r="EC1" t="e">
        <f>AND(Data!L4,"AAAAAB/v4YQ=")</f>
        <v>#VALUE!</v>
      </c>
      <c r="ED1" t="e">
        <f>AND(Data!M4,"AAAAAB/v4YU=")</f>
        <v>#VALUE!</v>
      </c>
      <c r="EE1" t="e">
        <f>AND(Data!N4,"AAAAAB/v4YY=")</f>
        <v>#VALUE!</v>
      </c>
      <c r="EF1" t="e">
        <f>AND(Data!O4,"AAAAAB/v4Yc=")</f>
        <v>#VALUE!</v>
      </c>
      <c r="EG1" t="e">
        <f>AND(Data!P4,"AAAAAB/v4Yg=")</f>
        <v>#VALUE!</v>
      </c>
      <c r="EH1" t="e">
        <f>AND(Data!Q4,"AAAAAB/v4Yk=")</f>
        <v>#VALUE!</v>
      </c>
      <c r="EI1" t="e">
        <f>AND(Data!R4,"AAAAAB/v4Yo=")</f>
        <v>#VALUE!</v>
      </c>
      <c r="EJ1" t="e">
        <f>AND(Data!S4,"AAAAAB/v4Ys=")</f>
        <v>#VALUE!</v>
      </c>
      <c r="EK1" t="e">
        <f>AND(Data!T4,"AAAAAB/v4Yw=")</f>
        <v>#VALUE!</v>
      </c>
      <c r="EL1" t="e">
        <f>AND(Data!U4,"AAAAAB/v4Y0=")</f>
        <v>#VALUE!</v>
      </c>
      <c r="EM1" t="e">
        <f>AND(Data!V4,"AAAAAB/v4Y4=")</f>
        <v>#VALUE!</v>
      </c>
      <c r="EN1" t="e">
        <f>AND(Data!W4,"AAAAAB/v4Y8=")</f>
        <v>#VALUE!</v>
      </c>
      <c r="EO1" t="e">
        <f>AND(Data!X4,"AAAAAB/v4ZA=")</f>
        <v>#VALUE!</v>
      </c>
      <c r="EP1" t="e">
        <f>AND(Data!Y4,"AAAAAB/v4ZE=")</f>
        <v>#VALUE!</v>
      </c>
      <c r="EQ1" t="e">
        <f>AND(Data!Z4,"AAAAAB/v4ZI=")</f>
        <v>#VALUE!</v>
      </c>
      <c r="ER1" t="e">
        <f>AND(Data!AA4,"AAAAAB/v4ZM=")</f>
        <v>#VALUE!</v>
      </c>
      <c r="ES1" t="e">
        <f>AND(Data!AB4,"AAAAAB/v4ZQ=")</f>
        <v>#VALUE!</v>
      </c>
      <c r="ET1" t="e">
        <f>AND(Data!AC4,"AAAAAB/v4ZU=")</f>
        <v>#VALUE!</v>
      </c>
      <c r="EU1" t="e">
        <f>AND(Data!#REF!,"AAAAAB/v4ZY=")</f>
        <v>#REF!</v>
      </c>
      <c r="EV1" t="e">
        <f>AND(Data!#REF!,"AAAAAB/v4Zc=")</f>
        <v>#REF!</v>
      </c>
      <c r="EW1" t="e">
        <f>AND(Data!#REF!,"AAAAAB/v4Zg=")</f>
        <v>#REF!</v>
      </c>
      <c r="EX1" t="e">
        <f>AND(Data!#REF!,"AAAAAB/v4Zk=")</f>
        <v>#REF!</v>
      </c>
      <c r="EY1" t="e">
        <f>AND(Data!#REF!,"AAAAAB/v4Zo=")</f>
        <v>#REF!</v>
      </c>
      <c r="EZ1" t="e">
        <f>AND(Data!#REF!,"AAAAAB/v4Zs=")</f>
        <v>#REF!</v>
      </c>
      <c r="FA1" t="e">
        <f>AND(Data!#REF!,"AAAAAB/v4Zw=")</f>
        <v>#REF!</v>
      </c>
      <c r="FB1" t="e">
        <f>AND(Data!#REF!,"AAAAAB/v4Z0=")</f>
        <v>#REF!</v>
      </c>
      <c r="FC1" t="e">
        <f>AND(Data!#REF!,"AAAAAB/v4Z4=")</f>
        <v>#REF!</v>
      </c>
      <c r="FD1" t="e">
        <f>AND(Data!#REF!,"AAAAAB/v4Z8=")</f>
        <v>#REF!</v>
      </c>
      <c r="FE1">
        <f>IF(Data!5:5,"AAAAAB/v4aA=",0)</f>
        <v>0</v>
      </c>
      <c r="FF1" t="e">
        <f>AND(Data!A5,"AAAAAB/v4aE=")</f>
        <v>#VALUE!</v>
      </c>
      <c r="FG1" t="e">
        <f>AND(Data!B5,"AAAAAB/v4aI=")</f>
        <v>#VALUE!</v>
      </c>
      <c r="FH1" t="e">
        <f>AND(Data!C5,"AAAAAB/v4aM=")</f>
        <v>#VALUE!</v>
      </c>
      <c r="FI1" t="e">
        <f>AND(Data!D5,"AAAAAB/v4aQ=")</f>
        <v>#VALUE!</v>
      </c>
      <c r="FJ1" t="e">
        <f>AND(Data!E5,"AAAAAB/v4aU=")</f>
        <v>#VALUE!</v>
      </c>
      <c r="FK1" t="e">
        <f>AND(Data!F5,"AAAAAB/v4aY=")</f>
        <v>#VALUE!</v>
      </c>
      <c r="FL1" t="e">
        <f>AND(Data!G5,"AAAAAB/v4ac=")</f>
        <v>#VALUE!</v>
      </c>
      <c r="FM1" t="e">
        <f>AND(Data!H5,"AAAAAB/v4ag=")</f>
        <v>#VALUE!</v>
      </c>
      <c r="FN1" t="e">
        <f>AND(Data!I5,"AAAAAB/v4ak=")</f>
        <v>#VALUE!</v>
      </c>
      <c r="FO1" t="e">
        <f>AND(Data!J5,"AAAAAB/v4ao=")</f>
        <v>#VALUE!</v>
      </c>
      <c r="FP1" t="e">
        <f>AND(Data!K5,"AAAAAB/v4as=")</f>
        <v>#VALUE!</v>
      </c>
      <c r="FQ1" t="e">
        <f>AND(Data!L5,"AAAAAB/v4aw=")</f>
        <v>#VALUE!</v>
      </c>
      <c r="FR1" t="e">
        <f>AND(Data!M5,"AAAAAB/v4a0=")</f>
        <v>#VALUE!</v>
      </c>
      <c r="FS1" t="e">
        <f>AND(Data!N5,"AAAAAB/v4a4=")</f>
        <v>#VALUE!</v>
      </c>
      <c r="FT1" t="e">
        <f>AND(Data!O5,"AAAAAB/v4a8=")</f>
        <v>#VALUE!</v>
      </c>
      <c r="FU1" t="e">
        <f>AND(Data!P5,"AAAAAB/v4bA=")</f>
        <v>#VALUE!</v>
      </c>
      <c r="FV1" t="e">
        <f>AND(Data!Q5,"AAAAAB/v4bE=")</f>
        <v>#VALUE!</v>
      </c>
      <c r="FW1" t="e">
        <f>AND(Data!R5,"AAAAAB/v4bI=")</f>
        <v>#VALUE!</v>
      </c>
      <c r="FX1" t="e">
        <f>AND(Data!S5,"AAAAAB/v4bM=")</f>
        <v>#VALUE!</v>
      </c>
      <c r="FY1" t="e">
        <f>AND(Data!T5,"AAAAAB/v4bQ=")</f>
        <v>#VALUE!</v>
      </c>
      <c r="FZ1" t="e">
        <f>AND(Data!U5,"AAAAAB/v4bU=")</f>
        <v>#VALUE!</v>
      </c>
      <c r="GA1" t="e">
        <f>AND(Data!V5,"AAAAAB/v4bY=")</f>
        <v>#VALUE!</v>
      </c>
      <c r="GB1" t="e">
        <f>AND(Data!W5,"AAAAAB/v4bc=")</f>
        <v>#VALUE!</v>
      </c>
      <c r="GC1" t="e">
        <f>AND(Data!X5,"AAAAAB/v4bg=")</f>
        <v>#VALUE!</v>
      </c>
      <c r="GD1" t="e">
        <f>AND(Data!Y5,"AAAAAB/v4bk=")</f>
        <v>#VALUE!</v>
      </c>
      <c r="GE1" t="e">
        <f>AND(Data!Z5,"AAAAAB/v4bo=")</f>
        <v>#VALUE!</v>
      </c>
      <c r="GF1" t="e">
        <f>AND(Data!AA5,"AAAAAB/v4bs=")</f>
        <v>#VALUE!</v>
      </c>
      <c r="GG1" t="e">
        <f>AND(Data!AB5,"AAAAAB/v4bw=")</f>
        <v>#VALUE!</v>
      </c>
      <c r="GH1" t="e">
        <f>AND(Data!AC5,"AAAAAB/v4b0=")</f>
        <v>#VALUE!</v>
      </c>
      <c r="GI1" t="e">
        <f>AND(Data!#REF!,"AAAAAB/v4b4=")</f>
        <v>#REF!</v>
      </c>
      <c r="GJ1" t="e">
        <f>AND(Data!#REF!,"AAAAAB/v4b8=")</f>
        <v>#REF!</v>
      </c>
      <c r="GK1" t="e">
        <f>AND(Data!#REF!,"AAAAAB/v4cA=")</f>
        <v>#REF!</v>
      </c>
      <c r="GL1" t="e">
        <f>AND(Data!#REF!,"AAAAAB/v4cE=")</f>
        <v>#REF!</v>
      </c>
      <c r="GM1" t="e">
        <f>AND(Data!#REF!,"AAAAAB/v4cI=")</f>
        <v>#REF!</v>
      </c>
      <c r="GN1" t="e">
        <f>AND(Data!#REF!,"AAAAAB/v4cM=")</f>
        <v>#REF!</v>
      </c>
      <c r="GO1" t="e">
        <f>AND(Data!#REF!,"AAAAAB/v4cQ=")</f>
        <v>#REF!</v>
      </c>
      <c r="GP1" t="e">
        <f>AND(Data!#REF!,"AAAAAB/v4cU=")</f>
        <v>#REF!</v>
      </c>
      <c r="GQ1" t="e">
        <f>AND(Data!#REF!,"AAAAAB/v4cY=")</f>
        <v>#REF!</v>
      </c>
      <c r="GR1" t="e">
        <f>AND(Data!#REF!,"AAAAAB/v4cc=")</f>
        <v>#REF!</v>
      </c>
      <c r="GS1">
        <f>IF(Data!6:6,"AAAAAB/v4cg=",0)</f>
        <v>0</v>
      </c>
      <c r="GT1" t="e">
        <f>AND(Data!A6,"AAAAAB/v4ck=")</f>
        <v>#VALUE!</v>
      </c>
      <c r="GU1" t="e">
        <f>AND(Data!B6,"AAAAAB/v4co=")</f>
        <v>#VALUE!</v>
      </c>
      <c r="GV1" t="e">
        <f>AND(Data!C6,"AAAAAB/v4cs=")</f>
        <v>#VALUE!</v>
      </c>
      <c r="GW1" t="e">
        <f>AND(Data!D6,"AAAAAB/v4cw=")</f>
        <v>#VALUE!</v>
      </c>
      <c r="GX1" t="e">
        <f>AND(Data!E6,"AAAAAB/v4c0=")</f>
        <v>#VALUE!</v>
      </c>
      <c r="GY1" t="e">
        <f>AND(Data!F6,"AAAAAB/v4c4=")</f>
        <v>#VALUE!</v>
      </c>
      <c r="GZ1" t="e">
        <f>AND(Data!G6,"AAAAAB/v4c8=")</f>
        <v>#VALUE!</v>
      </c>
      <c r="HA1" t="e">
        <f>AND(Data!H6,"AAAAAB/v4dA=")</f>
        <v>#VALUE!</v>
      </c>
      <c r="HB1" t="e">
        <f>AND(Data!I6,"AAAAAB/v4dE=")</f>
        <v>#VALUE!</v>
      </c>
      <c r="HC1" t="e">
        <f>AND(Data!J6,"AAAAAB/v4dI=")</f>
        <v>#VALUE!</v>
      </c>
      <c r="HD1" t="e">
        <f>AND(Data!K6,"AAAAAB/v4dM=")</f>
        <v>#VALUE!</v>
      </c>
      <c r="HE1" t="e">
        <f>AND(Data!L6,"AAAAAB/v4dQ=")</f>
        <v>#VALUE!</v>
      </c>
      <c r="HF1" t="e">
        <f>AND(Data!M6,"AAAAAB/v4dU=")</f>
        <v>#VALUE!</v>
      </c>
      <c r="HG1" t="e">
        <f>AND(Data!N6,"AAAAAB/v4dY=")</f>
        <v>#VALUE!</v>
      </c>
      <c r="HH1" t="e">
        <f>AND(Data!O6,"AAAAAB/v4dc=")</f>
        <v>#VALUE!</v>
      </c>
      <c r="HI1" t="e">
        <f>AND(Data!P6,"AAAAAB/v4dg=")</f>
        <v>#VALUE!</v>
      </c>
      <c r="HJ1" t="e">
        <f>AND(Data!Q6,"AAAAAB/v4dk=")</f>
        <v>#VALUE!</v>
      </c>
      <c r="HK1" t="e">
        <f>AND(Data!R6,"AAAAAB/v4do=")</f>
        <v>#VALUE!</v>
      </c>
      <c r="HL1" t="e">
        <f>AND(Data!S6,"AAAAAB/v4ds=")</f>
        <v>#VALUE!</v>
      </c>
      <c r="HM1" t="e">
        <f>AND(Data!T6,"AAAAAB/v4dw=")</f>
        <v>#VALUE!</v>
      </c>
      <c r="HN1" t="e">
        <f>AND(Data!U6,"AAAAAB/v4d0=")</f>
        <v>#VALUE!</v>
      </c>
      <c r="HO1" t="e">
        <f>AND(Data!V6,"AAAAAB/v4d4=")</f>
        <v>#VALUE!</v>
      </c>
      <c r="HP1" t="e">
        <f>AND(Data!W6,"AAAAAB/v4d8=")</f>
        <v>#VALUE!</v>
      </c>
      <c r="HQ1" t="e">
        <f>AND(Data!X6,"AAAAAB/v4eA=")</f>
        <v>#VALUE!</v>
      </c>
      <c r="HR1" t="e">
        <f>AND(Data!Y6,"AAAAAB/v4eE=")</f>
        <v>#VALUE!</v>
      </c>
      <c r="HS1" t="e">
        <f>AND(Data!Z6,"AAAAAB/v4eI=")</f>
        <v>#VALUE!</v>
      </c>
      <c r="HT1" t="e">
        <f>AND(Data!AA6,"AAAAAB/v4eM=")</f>
        <v>#VALUE!</v>
      </c>
      <c r="HU1" t="e">
        <f>AND(Data!AB6,"AAAAAB/v4eQ=")</f>
        <v>#VALUE!</v>
      </c>
      <c r="HV1" t="e">
        <f>AND(Data!AC6,"AAAAAB/v4eU=")</f>
        <v>#VALUE!</v>
      </c>
      <c r="HW1" t="e">
        <f>AND(Data!#REF!,"AAAAAB/v4eY=")</f>
        <v>#REF!</v>
      </c>
      <c r="HX1" t="e">
        <f>AND(Data!#REF!,"AAAAAB/v4ec=")</f>
        <v>#REF!</v>
      </c>
      <c r="HY1" t="e">
        <f>AND(Data!#REF!,"AAAAAB/v4eg=")</f>
        <v>#REF!</v>
      </c>
      <c r="HZ1" t="e">
        <f>AND(Data!#REF!,"AAAAAB/v4ek=")</f>
        <v>#REF!</v>
      </c>
      <c r="IA1" t="e">
        <f>AND(Data!#REF!,"AAAAAB/v4eo=")</f>
        <v>#REF!</v>
      </c>
      <c r="IB1" t="e">
        <f>AND(Data!#REF!,"AAAAAB/v4es=")</f>
        <v>#REF!</v>
      </c>
      <c r="IC1" t="e">
        <f>AND(Data!#REF!,"AAAAAB/v4ew=")</f>
        <v>#REF!</v>
      </c>
      <c r="ID1" t="e">
        <f>AND(Data!#REF!,"AAAAAB/v4e0=")</f>
        <v>#REF!</v>
      </c>
      <c r="IE1" t="e">
        <f>AND(Data!#REF!,"AAAAAB/v4e4=")</f>
        <v>#REF!</v>
      </c>
      <c r="IF1" t="e">
        <f>AND(Data!#REF!,"AAAAAB/v4e8=")</f>
        <v>#REF!</v>
      </c>
      <c r="IG1">
        <f>IF(Data!7:7,"AAAAAB/v4fA=",0)</f>
        <v>0</v>
      </c>
      <c r="IH1" t="e">
        <f>AND(Data!A7,"AAAAAB/v4fE=")</f>
        <v>#VALUE!</v>
      </c>
      <c r="II1" t="e">
        <f>AND(Data!B7,"AAAAAB/v4fI=")</f>
        <v>#VALUE!</v>
      </c>
      <c r="IJ1" t="e">
        <f>AND(Data!C7,"AAAAAB/v4fM=")</f>
        <v>#VALUE!</v>
      </c>
      <c r="IK1" t="e">
        <f>AND(Data!D7,"AAAAAB/v4fQ=")</f>
        <v>#VALUE!</v>
      </c>
      <c r="IL1" t="e">
        <f>AND(Data!E7,"AAAAAB/v4fU=")</f>
        <v>#VALUE!</v>
      </c>
      <c r="IM1" t="e">
        <f>AND(Data!F7,"AAAAAB/v4fY=")</f>
        <v>#VALUE!</v>
      </c>
      <c r="IN1" t="e">
        <f>AND(Data!G7,"AAAAAB/v4fc=")</f>
        <v>#VALUE!</v>
      </c>
      <c r="IO1" t="e">
        <f>AND(Data!H7,"AAAAAB/v4fg=")</f>
        <v>#VALUE!</v>
      </c>
      <c r="IP1" t="e">
        <f>AND(Data!I7,"AAAAAB/v4fk=")</f>
        <v>#VALUE!</v>
      </c>
      <c r="IQ1" t="e">
        <f>AND(Data!J7,"AAAAAB/v4fo=")</f>
        <v>#VALUE!</v>
      </c>
      <c r="IR1" t="e">
        <f>AND(Data!K7,"AAAAAB/v4fs=")</f>
        <v>#VALUE!</v>
      </c>
      <c r="IS1" t="e">
        <f>AND(Data!L7,"AAAAAB/v4fw=")</f>
        <v>#VALUE!</v>
      </c>
      <c r="IT1" t="e">
        <f>AND(Data!M7,"AAAAAB/v4f0=")</f>
        <v>#VALUE!</v>
      </c>
      <c r="IU1" t="e">
        <f>AND(Data!N7,"AAAAAB/v4f4=")</f>
        <v>#VALUE!</v>
      </c>
      <c r="IV1" t="e">
        <f>AND(Data!O7,"AAAAAB/v4f8=")</f>
        <v>#VALUE!</v>
      </c>
    </row>
    <row r="2" spans="1:256" ht="12.75">
      <c r="A2" t="e">
        <f>AND(Data!P7,"AAAAAHfBvgA=")</f>
        <v>#VALUE!</v>
      </c>
      <c r="B2" t="e">
        <f>AND(Data!Q7,"AAAAAHfBvgE=")</f>
        <v>#VALUE!</v>
      </c>
      <c r="C2" t="e">
        <f>AND(Data!R7,"AAAAAHfBvgI=")</f>
        <v>#VALUE!</v>
      </c>
      <c r="D2" t="e">
        <f>AND(Data!S7,"AAAAAHfBvgM=")</f>
        <v>#VALUE!</v>
      </c>
      <c r="E2" t="e">
        <f>AND(Data!T7,"AAAAAHfBvgQ=")</f>
        <v>#VALUE!</v>
      </c>
      <c r="F2" t="e">
        <f>AND(Data!U7,"AAAAAHfBvgU=")</f>
        <v>#VALUE!</v>
      </c>
      <c r="G2" t="e">
        <f>AND(Data!V7,"AAAAAHfBvgY=")</f>
        <v>#VALUE!</v>
      </c>
      <c r="H2" t="e">
        <f>AND(Data!W7,"AAAAAHfBvgc=")</f>
        <v>#VALUE!</v>
      </c>
      <c r="I2" t="e">
        <f>AND(Data!X7,"AAAAAHfBvgg=")</f>
        <v>#VALUE!</v>
      </c>
      <c r="J2" t="e">
        <f>AND(Data!Y7,"AAAAAHfBvgk=")</f>
        <v>#VALUE!</v>
      </c>
      <c r="K2" t="e">
        <f>AND(Data!Z7,"AAAAAHfBvgo=")</f>
        <v>#VALUE!</v>
      </c>
      <c r="L2" t="e">
        <f>AND(Data!AA7,"AAAAAHfBvgs=")</f>
        <v>#VALUE!</v>
      </c>
      <c r="M2" t="e">
        <f>AND(Data!AB7,"AAAAAHfBvgw=")</f>
        <v>#VALUE!</v>
      </c>
      <c r="N2" t="e">
        <f>AND(Data!AC7,"AAAAAHfBvg0=")</f>
        <v>#VALUE!</v>
      </c>
      <c r="O2" t="e">
        <f>AND(Data!#REF!,"AAAAAHfBvg4=")</f>
        <v>#REF!</v>
      </c>
      <c r="P2" t="e">
        <f>AND(Data!#REF!,"AAAAAHfBvg8=")</f>
        <v>#REF!</v>
      </c>
      <c r="Q2" t="e">
        <f>AND(Data!#REF!,"AAAAAHfBvhA=")</f>
        <v>#REF!</v>
      </c>
      <c r="R2" t="e">
        <f>AND(Data!#REF!,"AAAAAHfBvhE=")</f>
        <v>#REF!</v>
      </c>
      <c r="S2" t="e">
        <f>AND(Data!#REF!,"AAAAAHfBvhI=")</f>
        <v>#REF!</v>
      </c>
      <c r="T2" t="e">
        <f>AND(Data!#REF!,"AAAAAHfBvhM=")</f>
        <v>#REF!</v>
      </c>
      <c r="U2" t="e">
        <f>AND(Data!#REF!,"AAAAAHfBvhQ=")</f>
        <v>#REF!</v>
      </c>
      <c r="V2" t="e">
        <f>AND(Data!#REF!,"AAAAAHfBvhU=")</f>
        <v>#REF!</v>
      </c>
      <c r="W2" t="e">
        <f>AND(Data!#REF!,"AAAAAHfBvhY=")</f>
        <v>#REF!</v>
      </c>
      <c r="X2" t="e">
        <f>AND(Data!#REF!,"AAAAAHfBvhc=")</f>
        <v>#REF!</v>
      </c>
      <c r="Y2">
        <f>IF(Data!8:8,"AAAAAHfBvhg=",0)</f>
        <v>0</v>
      </c>
      <c r="Z2" t="e">
        <f>AND(Data!A8,"AAAAAHfBvhk=")</f>
        <v>#VALUE!</v>
      </c>
      <c r="AA2" t="e">
        <f>AND(Data!B8,"AAAAAHfBvho=")</f>
        <v>#VALUE!</v>
      </c>
      <c r="AB2" t="e">
        <f>AND(Data!C8,"AAAAAHfBvhs=")</f>
        <v>#VALUE!</v>
      </c>
      <c r="AC2" t="e">
        <f>AND(Data!D8,"AAAAAHfBvhw=")</f>
        <v>#VALUE!</v>
      </c>
      <c r="AD2" t="e">
        <f>AND(Data!E8,"AAAAAHfBvh0=")</f>
        <v>#VALUE!</v>
      </c>
      <c r="AE2" t="e">
        <f>AND(Data!F8,"AAAAAHfBvh4=")</f>
        <v>#VALUE!</v>
      </c>
      <c r="AF2" t="e">
        <f>AND(Data!G8,"AAAAAHfBvh8=")</f>
        <v>#VALUE!</v>
      </c>
      <c r="AG2" t="e">
        <f>AND(Data!H8,"AAAAAHfBviA=")</f>
        <v>#VALUE!</v>
      </c>
      <c r="AH2" t="e">
        <f>AND(Data!I8,"AAAAAHfBviE=")</f>
        <v>#VALUE!</v>
      </c>
      <c r="AI2" t="e">
        <f>AND(Data!J8,"AAAAAHfBviI=")</f>
        <v>#VALUE!</v>
      </c>
      <c r="AJ2" t="e">
        <f>AND(Data!K8,"AAAAAHfBviM=")</f>
        <v>#VALUE!</v>
      </c>
      <c r="AK2" t="e">
        <f>AND(Data!L8,"AAAAAHfBviQ=")</f>
        <v>#VALUE!</v>
      </c>
      <c r="AL2" t="e">
        <f>AND(Data!M8,"AAAAAHfBviU=")</f>
        <v>#VALUE!</v>
      </c>
      <c r="AM2" t="e">
        <f>AND(Data!N8,"AAAAAHfBviY=")</f>
        <v>#VALUE!</v>
      </c>
      <c r="AN2" t="e">
        <f>AND(Data!O8,"AAAAAHfBvic=")</f>
        <v>#VALUE!</v>
      </c>
      <c r="AO2" t="e">
        <f>AND(Data!P8,"AAAAAHfBvig=")</f>
        <v>#VALUE!</v>
      </c>
      <c r="AP2" t="e">
        <f>AND(Data!Q8,"AAAAAHfBvik=")</f>
        <v>#VALUE!</v>
      </c>
      <c r="AQ2" t="e">
        <f>AND(Data!R8,"AAAAAHfBvio=")</f>
        <v>#VALUE!</v>
      </c>
      <c r="AR2" t="e">
        <f>AND(Data!S8,"AAAAAHfBvis=")</f>
        <v>#VALUE!</v>
      </c>
      <c r="AS2" t="e">
        <f>AND(Data!T8,"AAAAAHfBviw=")</f>
        <v>#VALUE!</v>
      </c>
      <c r="AT2" t="e">
        <f>AND(Data!U8,"AAAAAHfBvi0=")</f>
        <v>#VALUE!</v>
      </c>
      <c r="AU2" t="e">
        <f>AND(Data!V8,"AAAAAHfBvi4=")</f>
        <v>#VALUE!</v>
      </c>
      <c r="AV2" t="e">
        <f>AND(Data!W8,"AAAAAHfBvi8=")</f>
        <v>#VALUE!</v>
      </c>
      <c r="AW2" t="e">
        <f>AND(Data!X8,"AAAAAHfBvjA=")</f>
        <v>#VALUE!</v>
      </c>
      <c r="AX2" t="e">
        <f>AND(Data!Y8,"AAAAAHfBvjE=")</f>
        <v>#VALUE!</v>
      </c>
      <c r="AY2" t="e">
        <f>AND(Data!Z8,"AAAAAHfBvjI=")</f>
        <v>#VALUE!</v>
      </c>
      <c r="AZ2" t="e">
        <f>AND(Data!AA8,"AAAAAHfBvjM=")</f>
        <v>#VALUE!</v>
      </c>
      <c r="BA2" t="e">
        <f>AND(Data!AB8,"AAAAAHfBvjQ=")</f>
        <v>#VALUE!</v>
      </c>
      <c r="BB2" t="e">
        <f>AND(Data!AC8,"AAAAAHfBvjU=")</f>
        <v>#VALUE!</v>
      </c>
      <c r="BC2" t="e">
        <f>AND(Data!#REF!,"AAAAAHfBvjY=")</f>
        <v>#REF!</v>
      </c>
      <c r="BD2" t="e">
        <f>AND(Data!#REF!,"AAAAAHfBvjc=")</f>
        <v>#REF!</v>
      </c>
      <c r="BE2" t="e">
        <f>AND(Data!#REF!,"AAAAAHfBvjg=")</f>
        <v>#REF!</v>
      </c>
      <c r="BF2" t="e">
        <f>AND(Data!#REF!,"AAAAAHfBvjk=")</f>
        <v>#REF!</v>
      </c>
      <c r="BG2" t="e">
        <f>AND(Data!#REF!,"AAAAAHfBvjo=")</f>
        <v>#REF!</v>
      </c>
      <c r="BH2" t="e">
        <f>AND(Data!#REF!,"AAAAAHfBvjs=")</f>
        <v>#REF!</v>
      </c>
      <c r="BI2" t="e">
        <f>AND(Data!#REF!,"AAAAAHfBvjw=")</f>
        <v>#REF!</v>
      </c>
      <c r="BJ2" t="e">
        <f>AND(Data!#REF!,"AAAAAHfBvj0=")</f>
        <v>#REF!</v>
      </c>
      <c r="BK2" t="e">
        <f>AND(Data!#REF!,"AAAAAHfBvj4=")</f>
        <v>#REF!</v>
      </c>
      <c r="BL2" t="e">
        <f>AND(Data!#REF!,"AAAAAHfBvj8=")</f>
        <v>#REF!</v>
      </c>
      <c r="BM2">
        <f>IF(Data!9:9,"AAAAAHfBvkA=",0)</f>
        <v>0</v>
      </c>
      <c r="BN2" t="e">
        <f>AND(Data!A9,"AAAAAHfBvkE=")</f>
        <v>#VALUE!</v>
      </c>
      <c r="BO2" t="e">
        <f>AND(Data!B9,"AAAAAHfBvkI=")</f>
        <v>#VALUE!</v>
      </c>
      <c r="BP2" t="e">
        <f>AND(Data!C9,"AAAAAHfBvkM=")</f>
        <v>#VALUE!</v>
      </c>
      <c r="BQ2" t="e">
        <f>AND(Data!D9,"AAAAAHfBvkQ=")</f>
        <v>#VALUE!</v>
      </c>
      <c r="BR2" t="e">
        <f>AND(Data!E9,"AAAAAHfBvkU=")</f>
        <v>#VALUE!</v>
      </c>
      <c r="BS2" t="e">
        <f>AND(Data!F9,"AAAAAHfBvkY=")</f>
        <v>#VALUE!</v>
      </c>
      <c r="BT2" t="e">
        <f>AND(Data!G9,"AAAAAHfBvkc=")</f>
        <v>#VALUE!</v>
      </c>
      <c r="BU2" t="e">
        <f>AND(Data!H9,"AAAAAHfBvkg=")</f>
        <v>#VALUE!</v>
      </c>
      <c r="BV2" t="e">
        <f>AND(Data!I9,"AAAAAHfBvkk=")</f>
        <v>#VALUE!</v>
      </c>
      <c r="BW2" t="e">
        <f>AND(Data!J9,"AAAAAHfBvko=")</f>
        <v>#VALUE!</v>
      </c>
      <c r="BX2" t="e">
        <f>AND(Data!K9,"AAAAAHfBvks=")</f>
        <v>#VALUE!</v>
      </c>
      <c r="BY2" t="e">
        <f>AND(Data!L9,"AAAAAHfBvkw=")</f>
        <v>#VALUE!</v>
      </c>
      <c r="BZ2" t="e">
        <f>AND(Data!M9,"AAAAAHfBvk0=")</f>
        <v>#VALUE!</v>
      </c>
      <c r="CA2" t="e">
        <f>AND(Data!N9,"AAAAAHfBvk4=")</f>
        <v>#VALUE!</v>
      </c>
      <c r="CB2" t="e">
        <f>AND(Data!O9,"AAAAAHfBvk8=")</f>
        <v>#VALUE!</v>
      </c>
      <c r="CC2" t="e">
        <f>AND(Data!P9,"AAAAAHfBvlA=")</f>
        <v>#VALUE!</v>
      </c>
      <c r="CD2" t="e">
        <f>AND(Data!Q9,"AAAAAHfBvlE=")</f>
        <v>#VALUE!</v>
      </c>
      <c r="CE2" t="e">
        <f>AND(Data!R9,"AAAAAHfBvlI=")</f>
        <v>#VALUE!</v>
      </c>
      <c r="CF2" t="e">
        <f>AND(Data!S9,"AAAAAHfBvlM=")</f>
        <v>#VALUE!</v>
      </c>
      <c r="CG2" t="e">
        <f>AND(Data!T9,"AAAAAHfBvlQ=")</f>
        <v>#VALUE!</v>
      </c>
      <c r="CH2" t="e">
        <f>AND(Data!U9,"AAAAAHfBvlU=")</f>
        <v>#VALUE!</v>
      </c>
      <c r="CI2" t="e">
        <f>AND(Data!V9,"AAAAAHfBvlY=")</f>
        <v>#VALUE!</v>
      </c>
      <c r="CJ2" t="e">
        <f>AND(Data!W9,"AAAAAHfBvlc=")</f>
        <v>#VALUE!</v>
      </c>
      <c r="CK2" t="e">
        <f>AND(Data!X9,"AAAAAHfBvlg=")</f>
        <v>#VALUE!</v>
      </c>
      <c r="CL2" t="e">
        <f>AND(Data!Y9,"AAAAAHfBvlk=")</f>
        <v>#VALUE!</v>
      </c>
      <c r="CM2" t="e">
        <f>AND(Data!Z9,"AAAAAHfBvlo=")</f>
        <v>#VALUE!</v>
      </c>
      <c r="CN2" t="e">
        <f>AND(Data!AA9,"AAAAAHfBvls=")</f>
        <v>#VALUE!</v>
      </c>
      <c r="CO2" t="e">
        <f>AND(Data!AB9,"AAAAAHfBvlw=")</f>
        <v>#VALUE!</v>
      </c>
      <c r="CP2" t="e">
        <f>AND(Data!AC9,"AAAAAHfBvl0=")</f>
        <v>#VALUE!</v>
      </c>
      <c r="CQ2" t="e">
        <f>AND(Data!#REF!,"AAAAAHfBvl4=")</f>
        <v>#REF!</v>
      </c>
      <c r="CR2" t="e">
        <f>AND(Data!#REF!,"AAAAAHfBvl8=")</f>
        <v>#REF!</v>
      </c>
      <c r="CS2" t="e">
        <f>AND(Data!#REF!,"AAAAAHfBvmA=")</f>
        <v>#REF!</v>
      </c>
      <c r="CT2" t="e">
        <f>AND(Data!#REF!,"AAAAAHfBvmE=")</f>
        <v>#REF!</v>
      </c>
      <c r="CU2" t="e">
        <f>AND(Data!#REF!,"AAAAAHfBvmI=")</f>
        <v>#REF!</v>
      </c>
      <c r="CV2" t="e">
        <f>AND(Data!#REF!,"AAAAAHfBvmM=")</f>
        <v>#REF!</v>
      </c>
      <c r="CW2" t="e">
        <f>AND(Data!#REF!,"AAAAAHfBvmQ=")</f>
        <v>#REF!</v>
      </c>
      <c r="CX2" t="e">
        <f>AND(Data!#REF!,"AAAAAHfBvmU=")</f>
        <v>#REF!</v>
      </c>
      <c r="CY2" t="e">
        <f>AND(Data!#REF!,"AAAAAHfBvmY=")</f>
        <v>#REF!</v>
      </c>
      <c r="CZ2" t="e">
        <f>AND(Data!#REF!,"AAAAAHfBvmc=")</f>
        <v>#REF!</v>
      </c>
      <c r="DA2">
        <f>IF(Data!10:10,"AAAAAHfBvmg=",0)</f>
        <v>0</v>
      </c>
      <c r="DB2" t="e">
        <f>AND(Data!A10,"AAAAAHfBvmk=")</f>
        <v>#VALUE!</v>
      </c>
      <c r="DC2" t="e">
        <f>AND(Data!B10,"AAAAAHfBvmo=")</f>
        <v>#VALUE!</v>
      </c>
      <c r="DD2" t="e">
        <f>AND(Data!C10,"AAAAAHfBvms=")</f>
        <v>#VALUE!</v>
      </c>
      <c r="DE2" t="e">
        <f>AND(Data!D10,"AAAAAHfBvmw=")</f>
        <v>#VALUE!</v>
      </c>
      <c r="DF2" t="e">
        <f>AND(Data!E10,"AAAAAHfBvm0=")</f>
        <v>#VALUE!</v>
      </c>
      <c r="DG2" t="e">
        <f>AND(Data!F10,"AAAAAHfBvm4=")</f>
        <v>#VALUE!</v>
      </c>
      <c r="DH2" t="e">
        <f>AND(Data!G10,"AAAAAHfBvm8=")</f>
        <v>#VALUE!</v>
      </c>
      <c r="DI2" t="e">
        <f>AND(Data!H10,"AAAAAHfBvnA=")</f>
        <v>#VALUE!</v>
      </c>
      <c r="DJ2" t="e">
        <f>AND(Data!I10,"AAAAAHfBvnE=")</f>
        <v>#VALUE!</v>
      </c>
      <c r="DK2" t="e">
        <f>AND(Data!J10,"AAAAAHfBvnI=")</f>
        <v>#VALUE!</v>
      </c>
      <c r="DL2" t="e">
        <f>AND(Data!K10,"AAAAAHfBvnM=")</f>
        <v>#VALUE!</v>
      </c>
      <c r="DM2" t="e">
        <f>AND(Data!L10,"AAAAAHfBvnQ=")</f>
        <v>#VALUE!</v>
      </c>
      <c r="DN2" t="e">
        <f>AND(Data!M10,"AAAAAHfBvnU=")</f>
        <v>#VALUE!</v>
      </c>
      <c r="DO2" t="e">
        <f>AND(Data!N10,"AAAAAHfBvnY=")</f>
        <v>#VALUE!</v>
      </c>
      <c r="DP2" t="e">
        <f>AND(Data!O10,"AAAAAHfBvnc=")</f>
        <v>#VALUE!</v>
      </c>
      <c r="DQ2" t="e">
        <f>AND(Data!P10,"AAAAAHfBvng=")</f>
        <v>#VALUE!</v>
      </c>
      <c r="DR2" t="e">
        <f>AND(Data!Q10,"AAAAAHfBvnk=")</f>
        <v>#VALUE!</v>
      </c>
      <c r="DS2" t="e">
        <f>AND(Data!R10,"AAAAAHfBvno=")</f>
        <v>#VALUE!</v>
      </c>
      <c r="DT2" t="e">
        <f>AND(Data!S10,"AAAAAHfBvns=")</f>
        <v>#VALUE!</v>
      </c>
      <c r="DU2" t="e">
        <f>AND(Data!T10,"AAAAAHfBvnw=")</f>
        <v>#VALUE!</v>
      </c>
      <c r="DV2" t="e">
        <f>AND(Data!U10,"AAAAAHfBvn0=")</f>
        <v>#VALUE!</v>
      </c>
      <c r="DW2" t="e">
        <f>AND(Data!V10,"AAAAAHfBvn4=")</f>
        <v>#VALUE!</v>
      </c>
      <c r="DX2" t="e">
        <f>AND(Data!W10,"AAAAAHfBvn8=")</f>
        <v>#VALUE!</v>
      </c>
      <c r="DY2" t="e">
        <f>AND(Data!X10,"AAAAAHfBvoA=")</f>
        <v>#VALUE!</v>
      </c>
      <c r="DZ2" t="e">
        <f>AND(Data!Y10,"AAAAAHfBvoE=")</f>
        <v>#VALUE!</v>
      </c>
      <c r="EA2" t="e">
        <f>AND(Data!Z10,"AAAAAHfBvoI=")</f>
        <v>#VALUE!</v>
      </c>
      <c r="EB2" t="e">
        <f>AND(Data!AA10,"AAAAAHfBvoM=")</f>
        <v>#VALUE!</v>
      </c>
      <c r="EC2" t="e">
        <f>AND(Data!AB10,"AAAAAHfBvoQ=")</f>
        <v>#VALUE!</v>
      </c>
      <c r="ED2" t="e">
        <f>AND(Data!AC10,"AAAAAHfBvoU=")</f>
        <v>#VALUE!</v>
      </c>
      <c r="EE2" t="e">
        <f>AND(Data!#REF!,"AAAAAHfBvoY=")</f>
        <v>#REF!</v>
      </c>
      <c r="EF2" t="e">
        <f>AND(Data!#REF!,"AAAAAHfBvoc=")</f>
        <v>#REF!</v>
      </c>
      <c r="EG2" t="e">
        <f>AND(Data!#REF!,"AAAAAHfBvog=")</f>
        <v>#REF!</v>
      </c>
      <c r="EH2" t="e">
        <f>AND(Data!#REF!,"AAAAAHfBvok=")</f>
        <v>#REF!</v>
      </c>
      <c r="EI2" t="e">
        <f>AND(Data!#REF!,"AAAAAHfBvoo=")</f>
        <v>#REF!</v>
      </c>
      <c r="EJ2" t="e">
        <f>AND(Data!#REF!,"AAAAAHfBvos=")</f>
        <v>#REF!</v>
      </c>
      <c r="EK2" t="e">
        <f>AND(Data!#REF!,"AAAAAHfBvow=")</f>
        <v>#REF!</v>
      </c>
      <c r="EL2" t="e">
        <f>AND(Data!#REF!,"AAAAAHfBvo0=")</f>
        <v>#REF!</v>
      </c>
      <c r="EM2" t="e">
        <f>AND(Data!#REF!,"AAAAAHfBvo4=")</f>
        <v>#REF!</v>
      </c>
      <c r="EN2" t="e">
        <f>AND(Data!#REF!,"AAAAAHfBvo8=")</f>
        <v>#REF!</v>
      </c>
      <c r="EO2">
        <f>IF(Data!11:11,"AAAAAHfBvpA=",0)</f>
        <v>0</v>
      </c>
      <c r="EP2" t="e">
        <f>AND(Data!A11,"AAAAAHfBvpE=")</f>
        <v>#VALUE!</v>
      </c>
      <c r="EQ2" t="e">
        <f>AND(Data!B11,"AAAAAHfBvpI=")</f>
        <v>#VALUE!</v>
      </c>
      <c r="ER2" t="e">
        <f>AND(Data!C11,"AAAAAHfBvpM=")</f>
        <v>#VALUE!</v>
      </c>
      <c r="ES2" t="e">
        <f>AND(Data!D11,"AAAAAHfBvpQ=")</f>
        <v>#VALUE!</v>
      </c>
      <c r="ET2" t="e">
        <f>AND(Data!E11,"AAAAAHfBvpU=")</f>
        <v>#VALUE!</v>
      </c>
      <c r="EU2" t="e">
        <f>AND(Data!F11,"AAAAAHfBvpY=")</f>
        <v>#VALUE!</v>
      </c>
      <c r="EV2" t="e">
        <f>AND(Data!G11,"AAAAAHfBvpc=")</f>
        <v>#VALUE!</v>
      </c>
      <c r="EW2" t="e">
        <f>AND(Data!H11,"AAAAAHfBvpg=")</f>
        <v>#VALUE!</v>
      </c>
      <c r="EX2" t="e">
        <f>AND(Data!I11,"AAAAAHfBvpk=")</f>
        <v>#VALUE!</v>
      </c>
      <c r="EY2" t="e">
        <f>AND(Data!J11,"AAAAAHfBvpo=")</f>
        <v>#VALUE!</v>
      </c>
      <c r="EZ2" t="e">
        <f>AND(Data!K11,"AAAAAHfBvps=")</f>
        <v>#VALUE!</v>
      </c>
      <c r="FA2" t="e">
        <f>AND(Data!L11,"AAAAAHfBvpw=")</f>
        <v>#VALUE!</v>
      </c>
      <c r="FB2" t="e">
        <f>AND(Data!M11,"AAAAAHfBvp0=")</f>
        <v>#VALUE!</v>
      </c>
      <c r="FC2" t="e">
        <f>AND(Data!N11,"AAAAAHfBvp4=")</f>
        <v>#VALUE!</v>
      </c>
      <c r="FD2" t="e">
        <f>AND(Data!O11,"AAAAAHfBvp8=")</f>
        <v>#VALUE!</v>
      </c>
      <c r="FE2" t="e">
        <f>AND(Data!P11,"AAAAAHfBvqA=")</f>
        <v>#VALUE!</v>
      </c>
      <c r="FF2" t="e">
        <f>AND(Data!Q11,"AAAAAHfBvqE=")</f>
        <v>#VALUE!</v>
      </c>
      <c r="FG2" t="e">
        <f>AND(Data!R11,"AAAAAHfBvqI=")</f>
        <v>#VALUE!</v>
      </c>
      <c r="FH2" t="e">
        <f>AND(Data!S11,"AAAAAHfBvqM=")</f>
        <v>#VALUE!</v>
      </c>
      <c r="FI2" t="e">
        <f>AND(Data!T11,"AAAAAHfBvqQ=")</f>
        <v>#VALUE!</v>
      </c>
      <c r="FJ2" t="e">
        <f>AND(Data!U11,"AAAAAHfBvqU=")</f>
        <v>#VALUE!</v>
      </c>
      <c r="FK2" t="e">
        <f>AND(Data!V11,"AAAAAHfBvqY=")</f>
        <v>#VALUE!</v>
      </c>
      <c r="FL2" t="e">
        <f>AND(Data!W11,"AAAAAHfBvqc=")</f>
        <v>#VALUE!</v>
      </c>
      <c r="FM2" t="e">
        <f>AND(Data!X11,"AAAAAHfBvqg=")</f>
        <v>#VALUE!</v>
      </c>
      <c r="FN2" t="e">
        <f>AND(Data!Y11,"AAAAAHfBvqk=")</f>
        <v>#VALUE!</v>
      </c>
      <c r="FO2" t="e">
        <f>AND(Data!Z11,"AAAAAHfBvqo=")</f>
        <v>#VALUE!</v>
      </c>
      <c r="FP2" t="e">
        <f>AND(Data!AA11,"AAAAAHfBvqs=")</f>
        <v>#VALUE!</v>
      </c>
      <c r="FQ2" t="e">
        <f>AND(Data!AB11,"AAAAAHfBvqw=")</f>
        <v>#VALUE!</v>
      </c>
      <c r="FR2" t="e">
        <f>AND(Data!AC11,"AAAAAHfBvq0=")</f>
        <v>#VALUE!</v>
      </c>
      <c r="FS2" t="e">
        <f>AND(Data!#REF!,"AAAAAHfBvq4=")</f>
        <v>#REF!</v>
      </c>
      <c r="FT2" t="e">
        <f>AND(Data!#REF!,"AAAAAHfBvq8=")</f>
        <v>#REF!</v>
      </c>
      <c r="FU2" t="e">
        <f>AND(Data!#REF!,"AAAAAHfBvrA=")</f>
        <v>#REF!</v>
      </c>
      <c r="FV2" t="e">
        <f>AND(Data!#REF!,"AAAAAHfBvrE=")</f>
        <v>#REF!</v>
      </c>
      <c r="FW2" t="e">
        <f>AND(Data!#REF!,"AAAAAHfBvrI=")</f>
        <v>#REF!</v>
      </c>
      <c r="FX2" t="e">
        <f>AND(Data!#REF!,"AAAAAHfBvrM=")</f>
        <v>#REF!</v>
      </c>
      <c r="FY2" t="e">
        <f>AND(Data!#REF!,"AAAAAHfBvrQ=")</f>
        <v>#REF!</v>
      </c>
      <c r="FZ2" t="e">
        <f>AND(Data!#REF!,"AAAAAHfBvrU=")</f>
        <v>#REF!</v>
      </c>
      <c r="GA2" t="e">
        <f>AND(Data!#REF!,"AAAAAHfBvrY=")</f>
        <v>#REF!</v>
      </c>
      <c r="GB2" t="e">
        <f>AND(Data!#REF!,"AAAAAHfBvrc=")</f>
        <v>#REF!</v>
      </c>
      <c r="GC2">
        <f>IF(Data!12:12,"AAAAAHfBvrg=",0)</f>
        <v>0</v>
      </c>
      <c r="GD2" t="e">
        <f>AND(Data!A12,"AAAAAHfBvrk=")</f>
        <v>#VALUE!</v>
      </c>
      <c r="GE2" t="e">
        <f>AND(Data!B12,"AAAAAHfBvro=")</f>
        <v>#VALUE!</v>
      </c>
      <c r="GF2" t="e">
        <f>AND(Data!C12,"AAAAAHfBvrs=")</f>
        <v>#VALUE!</v>
      </c>
      <c r="GG2" t="e">
        <f>AND(Data!D12,"AAAAAHfBvrw=")</f>
        <v>#VALUE!</v>
      </c>
      <c r="GH2" t="e">
        <f>AND(Data!E12,"AAAAAHfBvr0=")</f>
        <v>#VALUE!</v>
      </c>
      <c r="GI2" t="e">
        <f>AND(Data!F12,"AAAAAHfBvr4=")</f>
        <v>#VALUE!</v>
      </c>
      <c r="GJ2" t="e">
        <f>AND(Data!G12,"AAAAAHfBvr8=")</f>
        <v>#VALUE!</v>
      </c>
      <c r="GK2" t="e">
        <f>AND(Data!H12,"AAAAAHfBvsA=")</f>
        <v>#VALUE!</v>
      </c>
      <c r="GL2" t="e">
        <f>AND(Data!I12,"AAAAAHfBvsE=")</f>
        <v>#VALUE!</v>
      </c>
      <c r="GM2" t="e">
        <f>AND(Data!J12,"AAAAAHfBvsI=")</f>
        <v>#VALUE!</v>
      </c>
      <c r="GN2" t="e">
        <f>AND(Data!K12,"AAAAAHfBvsM=")</f>
        <v>#VALUE!</v>
      </c>
      <c r="GO2" t="e">
        <f>AND(Data!L12,"AAAAAHfBvsQ=")</f>
        <v>#VALUE!</v>
      </c>
      <c r="GP2" t="e">
        <f>AND(Data!M12,"AAAAAHfBvsU=")</f>
        <v>#VALUE!</v>
      </c>
      <c r="GQ2" t="e">
        <f>AND(Data!N12,"AAAAAHfBvsY=")</f>
        <v>#VALUE!</v>
      </c>
      <c r="GR2" t="e">
        <f>AND(Data!O12,"AAAAAHfBvsc=")</f>
        <v>#VALUE!</v>
      </c>
      <c r="GS2" t="e">
        <f>AND(Data!P12,"AAAAAHfBvsg=")</f>
        <v>#VALUE!</v>
      </c>
      <c r="GT2" t="e">
        <f>AND(Data!Q12,"AAAAAHfBvsk=")</f>
        <v>#VALUE!</v>
      </c>
      <c r="GU2" t="e">
        <f>AND(Data!R12,"AAAAAHfBvso=")</f>
        <v>#VALUE!</v>
      </c>
      <c r="GV2" t="e">
        <f>AND(Data!S12,"AAAAAHfBvss=")</f>
        <v>#VALUE!</v>
      </c>
      <c r="GW2" t="e">
        <f>AND(Data!T12,"AAAAAHfBvsw=")</f>
        <v>#VALUE!</v>
      </c>
      <c r="GX2" t="e">
        <f>AND(Data!U12,"AAAAAHfBvs0=")</f>
        <v>#VALUE!</v>
      </c>
      <c r="GY2" t="e">
        <f>AND(Data!V12,"AAAAAHfBvs4=")</f>
        <v>#VALUE!</v>
      </c>
      <c r="GZ2" t="e">
        <f>AND(Data!W12,"AAAAAHfBvs8=")</f>
        <v>#VALUE!</v>
      </c>
      <c r="HA2" t="e">
        <f>AND(Data!X12,"AAAAAHfBvtA=")</f>
        <v>#VALUE!</v>
      </c>
      <c r="HB2" t="e">
        <f>AND(Data!Y12,"AAAAAHfBvtE=")</f>
        <v>#VALUE!</v>
      </c>
      <c r="HC2" t="e">
        <f>AND(Data!Z12,"AAAAAHfBvtI=")</f>
        <v>#VALUE!</v>
      </c>
      <c r="HD2" t="e">
        <f>AND(Data!AA12,"AAAAAHfBvtM=")</f>
        <v>#VALUE!</v>
      </c>
      <c r="HE2" t="e">
        <f>AND(Data!AB12,"AAAAAHfBvtQ=")</f>
        <v>#VALUE!</v>
      </c>
      <c r="HF2" t="e">
        <f>AND(Data!AC12,"AAAAAHfBvtU=")</f>
        <v>#VALUE!</v>
      </c>
      <c r="HG2" t="e">
        <f>AND(Data!#REF!,"AAAAAHfBvtY=")</f>
        <v>#REF!</v>
      </c>
      <c r="HH2" t="e">
        <f>AND(Data!#REF!,"AAAAAHfBvtc=")</f>
        <v>#REF!</v>
      </c>
      <c r="HI2" t="e">
        <f>AND(Data!#REF!,"AAAAAHfBvtg=")</f>
        <v>#REF!</v>
      </c>
      <c r="HJ2" t="e">
        <f>AND(Data!#REF!,"AAAAAHfBvtk=")</f>
        <v>#REF!</v>
      </c>
      <c r="HK2" t="e">
        <f>AND(Data!#REF!,"AAAAAHfBvto=")</f>
        <v>#REF!</v>
      </c>
      <c r="HL2" t="e">
        <f>AND(Data!#REF!,"AAAAAHfBvts=")</f>
        <v>#REF!</v>
      </c>
      <c r="HM2" t="e">
        <f>AND(Data!#REF!,"AAAAAHfBvtw=")</f>
        <v>#REF!</v>
      </c>
      <c r="HN2" t="e">
        <f>AND(Data!#REF!,"AAAAAHfBvt0=")</f>
        <v>#REF!</v>
      </c>
      <c r="HO2" t="e">
        <f>AND(Data!#REF!,"AAAAAHfBvt4=")</f>
        <v>#REF!</v>
      </c>
      <c r="HP2" t="e">
        <f>AND(Data!#REF!,"AAAAAHfBvt8=")</f>
        <v>#REF!</v>
      </c>
      <c r="HQ2">
        <f>IF(Data!13:13,"AAAAAHfBvuA=",0)</f>
        <v>0</v>
      </c>
      <c r="HR2" t="e">
        <f>AND(Data!A13,"AAAAAHfBvuE=")</f>
        <v>#VALUE!</v>
      </c>
      <c r="HS2" t="e">
        <f>AND(Data!B13,"AAAAAHfBvuI=")</f>
        <v>#VALUE!</v>
      </c>
      <c r="HT2" t="e">
        <f>AND(Data!C13,"AAAAAHfBvuM=")</f>
        <v>#VALUE!</v>
      </c>
      <c r="HU2" t="e">
        <f>AND(Data!D13,"AAAAAHfBvuQ=")</f>
        <v>#VALUE!</v>
      </c>
      <c r="HV2" t="e">
        <f>AND(Data!E13,"AAAAAHfBvuU=")</f>
        <v>#VALUE!</v>
      </c>
      <c r="HW2" t="e">
        <f>AND(Data!F13,"AAAAAHfBvuY=")</f>
        <v>#VALUE!</v>
      </c>
      <c r="HX2" t="e">
        <f>AND(Data!G13,"AAAAAHfBvuc=")</f>
        <v>#VALUE!</v>
      </c>
      <c r="HY2" t="e">
        <f>AND(Data!H13,"AAAAAHfBvug=")</f>
        <v>#VALUE!</v>
      </c>
      <c r="HZ2" t="e">
        <f>AND(Data!I13,"AAAAAHfBvuk=")</f>
        <v>#VALUE!</v>
      </c>
      <c r="IA2" t="e">
        <f>AND(Data!J13,"AAAAAHfBvuo=")</f>
        <v>#VALUE!</v>
      </c>
      <c r="IB2" t="e">
        <f>AND(Data!K13,"AAAAAHfBvus=")</f>
        <v>#VALUE!</v>
      </c>
      <c r="IC2" t="e">
        <f>AND(Data!L13,"AAAAAHfBvuw=")</f>
        <v>#VALUE!</v>
      </c>
      <c r="ID2" t="e">
        <f>AND(Data!M13,"AAAAAHfBvu0=")</f>
        <v>#VALUE!</v>
      </c>
      <c r="IE2" t="e">
        <f>AND(Data!N13,"AAAAAHfBvu4=")</f>
        <v>#VALUE!</v>
      </c>
      <c r="IF2" t="e">
        <f>AND(Data!O13,"AAAAAHfBvu8=")</f>
        <v>#VALUE!</v>
      </c>
      <c r="IG2" t="e">
        <f>AND(Data!P13,"AAAAAHfBvvA=")</f>
        <v>#VALUE!</v>
      </c>
      <c r="IH2" t="e">
        <f>AND(Data!Q13,"AAAAAHfBvvE=")</f>
        <v>#VALUE!</v>
      </c>
      <c r="II2" t="e">
        <f>AND(Data!R13,"AAAAAHfBvvI=")</f>
        <v>#VALUE!</v>
      </c>
      <c r="IJ2" t="e">
        <f>AND(Data!S13,"AAAAAHfBvvM=")</f>
        <v>#VALUE!</v>
      </c>
      <c r="IK2" t="e">
        <f>AND(Data!T13,"AAAAAHfBvvQ=")</f>
        <v>#VALUE!</v>
      </c>
      <c r="IL2" t="e">
        <f>AND(Data!U13,"AAAAAHfBvvU=")</f>
        <v>#VALUE!</v>
      </c>
      <c r="IM2" t="e">
        <f>AND(Data!V13,"AAAAAHfBvvY=")</f>
        <v>#VALUE!</v>
      </c>
      <c r="IN2" t="e">
        <f>AND(Data!W13,"AAAAAHfBvvc=")</f>
        <v>#VALUE!</v>
      </c>
      <c r="IO2" t="e">
        <f>AND(Data!X13,"AAAAAHfBvvg=")</f>
        <v>#VALUE!</v>
      </c>
      <c r="IP2" t="e">
        <f>AND(Data!Y13,"AAAAAHfBvvk=")</f>
        <v>#VALUE!</v>
      </c>
      <c r="IQ2" t="e">
        <f>AND(Data!Z13,"AAAAAHfBvvo=")</f>
        <v>#VALUE!</v>
      </c>
      <c r="IR2" t="e">
        <f>AND(Data!AA13,"AAAAAHfBvvs=")</f>
        <v>#VALUE!</v>
      </c>
      <c r="IS2" t="e">
        <f>AND(Data!AB13,"AAAAAHfBvvw=")</f>
        <v>#VALUE!</v>
      </c>
      <c r="IT2" t="e">
        <f>AND(Data!AC13,"AAAAAHfBvv0=")</f>
        <v>#VALUE!</v>
      </c>
      <c r="IU2" t="e">
        <f>AND(Data!#REF!,"AAAAAHfBvv4=")</f>
        <v>#REF!</v>
      </c>
      <c r="IV2" t="e">
        <f>AND(Data!#REF!,"AAAAAHfBvv8=")</f>
        <v>#REF!</v>
      </c>
    </row>
    <row r="3" spans="1:256" ht="12.75">
      <c r="A3" t="e">
        <f>AND(Data!#REF!,"AAAAAHa7/wA=")</f>
        <v>#REF!</v>
      </c>
      <c r="B3" t="e">
        <f>AND(Data!#REF!,"AAAAAHa7/wE=")</f>
        <v>#REF!</v>
      </c>
      <c r="C3" t="e">
        <f>AND(Data!#REF!,"AAAAAHa7/wI=")</f>
        <v>#REF!</v>
      </c>
      <c r="D3" t="e">
        <f>AND(Data!#REF!,"AAAAAHa7/wM=")</f>
        <v>#REF!</v>
      </c>
      <c r="E3" t="e">
        <f>AND(Data!#REF!,"AAAAAHa7/wQ=")</f>
        <v>#REF!</v>
      </c>
      <c r="F3" t="e">
        <f>AND(Data!#REF!,"AAAAAHa7/wU=")</f>
        <v>#REF!</v>
      </c>
      <c r="G3" t="e">
        <f>AND(Data!#REF!,"AAAAAHa7/wY=")</f>
        <v>#REF!</v>
      </c>
      <c r="H3" t="e">
        <f>AND(Data!#REF!,"AAAAAHa7/wc=")</f>
        <v>#REF!</v>
      </c>
      <c r="I3" t="str">
        <f>IF(Data!14:14,"AAAAAHa7/wg=",0)</f>
        <v>AAAAAHa7/wg=</v>
      </c>
      <c r="J3" t="e">
        <f>AND(Data!A14,"AAAAAHa7/wk=")</f>
        <v>#VALUE!</v>
      </c>
      <c r="K3" t="e">
        <f>AND(Data!B14,"AAAAAHa7/wo=")</f>
        <v>#VALUE!</v>
      </c>
      <c r="L3" t="e">
        <f>AND(Data!C14,"AAAAAHa7/ws=")</f>
        <v>#VALUE!</v>
      </c>
      <c r="M3" t="e">
        <f>AND(Data!D14,"AAAAAHa7/ww=")</f>
        <v>#VALUE!</v>
      </c>
      <c r="N3" t="e">
        <f>AND(Data!E14,"AAAAAHa7/w0=")</f>
        <v>#VALUE!</v>
      </c>
      <c r="O3" t="e">
        <f>AND(Data!F14,"AAAAAHa7/w4=")</f>
        <v>#VALUE!</v>
      </c>
      <c r="P3" t="e">
        <f>AND(Data!G14,"AAAAAHa7/w8=")</f>
        <v>#VALUE!</v>
      </c>
      <c r="Q3" t="e">
        <f>AND(Data!H14,"AAAAAHa7/xA=")</f>
        <v>#VALUE!</v>
      </c>
      <c r="R3" t="e">
        <f>AND(Data!I14,"AAAAAHa7/xE=")</f>
        <v>#VALUE!</v>
      </c>
      <c r="S3" t="e">
        <f>AND(Data!J14,"AAAAAHa7/xI=")</f>
        <v>#VALUE!</v>
      </c>
      <c r="T3" t="e">
        <f>AND(Data!K14,"AAAAAHa7/xM=")</f>
        <v>#VALUE!</v>
      </c>
      <c r="U3" t="e">
        <f>AND(Data!L14,"AAAAAHa7/xQ=")</f>
        <v>#VALUE!</v>
      </c>
      <c r="V3" t="e">
        <f>AND(Data!M14,"AAAAAHa7/xU=")</f>
        <v>#VALUE!</v>
      </c>
      <c r="W3" t="e">
        <f>AND(Data!N14,"AAAAAHa7/xY=")</f>
        <v>#VALUE!</v>
      </c>
      <c r="X3" t="e">
        <f>AND(Data!O14,"AAAAAHa7/xc=")</f>
        <v>#VALUE!</v>
      </c>
      <c r="Y3" t="e">
        <f>AND(Data!P14,"AAAAAHa7/xg=")</f>
        <v>#VALUE!</v>
      </c>
      <c r="Z3" t="e">
        <f>AND(Data!Q14,"AAAAAHa7/xk=")</f>
        <v>#VALUE!</v>
      </c>
      <c r="AA3" t="e">
        <f>AND(Data!R14,"AAAAAHa7/xo=")</f>
        <v>#VALUE!</v>
      </c>
      <c r="AB3" t="e">
        <f>AND(Data!S14,"AAAAAHa7/xs=")</f>
        <v>#VALUE!</v>
      </c>
      <c r="AC3" t="e">
        <f>AND(Data!T14,"AAAAAHa7/xw=")</f>
        <v>#VALUE!</v>
      </c>
      <c r="AD3" t="e">
        <f>AND(Data!U14,"AAAAAHa7/x0=")</f>
        <v>#VALUE!</v>
      </c>
      <c r="AE3" t="e">
        <f>AND(Data!V14,"AAAAAHa7/x4=")</f>
        <v>#VALUE!</v>
      </c>
      <c r="AF3" t="e">
        <f>AND(Data!W14,"AAAAAHa7/x8=")</f>
        <v>#VALUE!</v>
      </c>
      <c r="AG3" t="e">
        <f>AND(Data!X14,"AAAAAHa7/yA=")</f>
        <v>#VALUE!</v>
      </c>
      <c r="AH3" t="e">
        <f>AND(Data!Y14,"AAAAAHa7/yE=")</f>
        <v>#VALUE!</v>
      </c>
      <c r="AI3" t="e">
        <f>AND(Data!Z14,"AAAAAHa7/yI=")</f>
        <v>#VALUE!</v>
      </c>
      <c r="AJ3" t="e">
        <f>AND(Data!AA14,"AAAAAHa7/yM=")</f>
        <v>#VALUE!</v>
      </c>
      <c r="AK3" t="e">
        <f>AND(Data!AB14,"AAAAAHa7/yQ=")</f>
        <v>#VALUE!</v>
      </c>
      <c r="AL3" t="e">
        <f>AND(Data!AC14,"AAAAAHa7/yU=")</f>
        <v>#VALUE!</v>
      </c>
      <c r="AM3" t="e">
        <f>AND(Data!#REF!,"AAAAAHa7/yY=")</f>
        <v>#REF!</v>
      </c>
      <c r="AN3" t="e">
        <f>AND(Data!#REF!,"AAAAAHa7/yc=")</f>
        <v>#REF!</v>
      </c>
      <c r="AO3" t="e">
        <f>AND(Data!#REF!,"AAAAAHa7/yg=")</f>
        <v>#REF!</v>
      </c>
      <c r="AP3" t="e">
        <f>AND(Data!#REF!,"AAAAAHa7/yk=")</f>
        <v>#REF!</v>
      </c>
      <c r="AQ3" t="e">
        <f>AND(Data!#REF!,"AAAAAHa7/yo=")</f>
        <v>#REF!</v>
      </c>
      <c r="AR3" t="e">
        <f>AND(Data!#REF!,"AAAAAHa7/ys=")</f>
        <v>#REF!</v>
      </c>
      <c r="AS3" t="e">
        <f>AND(Data!#REF!,"AAAAAHa7/yw=")</f>
        <v>#REF!</v>
      </c>
      <c r="AT3" t="e">
        <f>AND(Data!#REF!,"AAAAAHa7/y0=")</f>
        <v>#REF!</v>
      </c>
      <c r="AU3" t="e">
        <f>AND(Data!#REF!,"AAAAAHa7/y4=")</f>
        <v>#REF!</v>
      </c>
      <c r="AV3" t="e">
        <f>AND(Data!#REF!,"AAAAAHa7/y8=")</f>
        <v>#REF!</v>
      </c>
      <c r="AW3">
        <f>IF(Data!15:15,"AAAAAHa7/zA=",0)</f>
        <v>0</v>
      </c>
      <c r="AX3" t="e">
        <f>AND(Data!A15,"AAAAAHa7/zE=")</f>
        <v>#VALUE!</v>
      </c>
      <c r="AY3" t="e">
        <f>AND(Data!B15,"AAAAAHa7/zI=")</f>
        <v>#VALUE!</v>
      </c>
      <c r="AZ3" t="e">
        <f>AND(Data!C15,"AAAAAHa7/zM=")</f>
        <v>#VALUE!</v>
      </c>
      <c r="BA3" t="e">
        <f>AND(Data!D15,"AAAAAHa7/zQ=")</f>
        <v>#VALUE!</v>
      </c>
      <c r="BB3" t="e">
        <f>AND(Data!E15,"AAAAAHa7/zU=")</f>
        <v>#VALUE!</v>
      </c>
      <c r="BC3" t="e">
        <f>AND(Data!F15,"AAAAAHa7/zY=")</f>
        <v>#VALUE!</v>
      </c>
      <c r="BD3" t="e">
        <f>AND(Data!G15,"AAAAAHa7/zc=")</f>
        <v>#VALUE!</v>
      </c>
      <c r="BE3" t="e">
        <f>AND(Data!H15,"AAAAAHa7/zg=")</f>
        <v>#VALUE!</v>
      </c>
      <c r="BF3" t="e">
        <f>AND(Data!I15,"AAAAAHa7/zk=")</f>
        <v>#VALUE!</v>
      </c>
      <c r="BG3" t="e">
        <f>AND(Data!J15,"AAAAAHa7/zo=")</f>
        <v>#VALUE!</v>
      </c>
      <c r="BH3" t="e">
        <f>AND(Data!K15,"AAAAAHa7/zs=")</f>
        <v>#VALUE!</v>
      </c>
      <c r="BI3" t="e">
        <f>AND(Data!L15,"AAAAAHa7/zw=")</f>
        <v>#VALUE!</v>
      </c>
      <c r="BJ3" t="e">
        <f>AND(Data!M15,"AAAAAHa7/z0=")</f>
        <v>#VALUE!</v>
      </c>
      <c r="BK3" t="e">
        <f>AND(Data!N15,"AAAAAHa7/z4=")</f>
        <v>#VALUE!</v>
      </c>
      <c r="BL3" t="e">
        <f>AND(Data!O15,"AAAAAHa7/z8=")</f>
        <v>#VALUE!</v>
      </c>
      <c r="BM3" t="e">
        <f>AND(Data!P15,"AAAAAHa7/0A=")</f>
        <v>#VALUE!</v>
      </c>
      <c r="BN3" t="e">
        <f>AND(Data!Q15,"AAAAAHa7/0E=")</f>
        <v>#VALUE!</v>
      </c>
      <c r="BO3" t="e">
        <f>AND(Data!R15,"AAAAAHa7/0I=")</f>
        <v>#VALUE!</v>
      </c>
      <c r="BP3" t="e">
        <f>AND(Data!S15,"AAAAAHa7/0M=")</f>
        <v>#VALUE!</v>
      </c>
      <c r="BQ3" t="e">
        <f>AND(Data!T15,"AAAAAHa7/0Q=")</f>
        <v>#VALUE!</v>
      </c>
      <c r="BR3" t="e">
        <f>AND(Data!U15,"AAAAAHa7/0U=")</f>
        <v>#VALUE!</v>
      </c>
      <c r="BS3" t="e">
        <f>AND(Data!V15,"AAAAAHa7/0Y=")</f>
        <v>#VALUE!</v>
      </c>
      <c r="BT3" t="e">
        <f>AND(Data!W15,"AAAAAHa7/0c=")</f>
        <v>#VALUE!</v>
      </c>
      <c r="BU3" t="e">
        <f>AND(Data!X15,"AAAAAHa7/0g=")</f>
        <v>#VALUE!</v>
      </c>
      <c r="BV3" t="e">
        <f>AND(Data!Y15,"AAAAAHa7/0k=")</f>
        <v>#VALUE!</v>
      </c>
      <c r="BW3" t="e">
        <f>AND(Data!Z15,"AAAAAHa7/0o=")</f>
        <v>#VALUE!</v>
      </c>
      <c r="BX3" t="e">
        <f>AND(Data!AA15,"AAAAAHa7/0s=")</f>
        <v>#VALUE!</v>
      </c>
      <c r="BY3" t="e">
        <f>AND(Data!AB15,"AAAAAHa7/0w=")</f>
        <v>#VALUE!</v>
      </c>
      <c r="BZ3" t="e">
        <f>AND(Data!AC15,"AAAAAHa7/00=")</f>
        <v>#VALUE!</v>
      </c>
      <c r="CA3" t="e">
        <f>AND(Data!#REF!,"AAAAAHa7/04=")</f>
        <v>#REF!</v>
      </c>
      <c r="CB3" t="e">
        <f>AND(Data!#REF!,"AAAAAHa7/08=")</f>
        <v>#REF!</v>
      </c>
      <c r="CC3" t="e">
        <f>AND(Data!#REF!,"AAAAAHa7/1A=")</f>
        <v>#REF!</v>
      </c>
      <c r="CD3" t="e">
        <f>AND(Data!#REF!,"AAAAAHa7/1E=")</f>
        <v>#REF!</v>
      </c>
      <c r="CE3" t="e">
        <f>AND(Data!#REF!,"AAAAAHa7/1I=")</f>
        <v>#REF!</v>
      </c>
      <c r="CF3" t="e">
        <f>AND(Data!#REF!,"AAAAAHa7/1M=")</f>
        <v>#REF!</v>
      </c>
      <c r="CG3" t="e">
        <f>AND(Data!#REF!,"AAAAAHa7/1Q=")</f>
        <v>#REF!</v>
      </c>
      <c r="CH3" t="e">
        <f>AND(Data!#REF!,"AAAAAHa7/1U=")</f>
        <v>#REF!</v>
      </c>
      <c r="CI3" t="e">
        <f>AND(Data!#REF!,"AAAAAHa7/1Y=")</f>
        <v>#REF!</v>
      </c>
      <c r="CJ3" t="e">
        <f>AND(Data!#REF!,"AAAAAHa7/1c=")</f>
        <v>#REF!</v>
      </c>
      <c r="CK3">
        <f>IF(Data!16:16,"AAAAAHa7/1g=",0)</f>
        <v>0</v>
      </c>
      <c r="CL3" t="e">
        <f>AND(Data!A16,"AAAAAHa7/1k=")</f>
        <v>#VALUE!</v>
      </c>
      <c r="CM3" t="e">
        <f>AND(Data!B16,"AAAAAHa7/1o=")</f>
        <v>#VALUE!</v>
      </c>
      <c r="CN3" t="e">
        <f>AND(Data!C16,"AAAAAHa7/1s=")</f>
        <v>#VALUE!</v>
      </c>
      <c r="CO3" t="e">
        <f>AND(Data!D16,"AAAAAHa7/1w=")</f>
        <v>#VALUE!</v>
      </c>
      <c r="CP3" t="e">
        <f>AND(Data!E16,"AAAAAHa7/10=")</f>
        <v>#VALUE!</v>
      </c>
      <c r="CQ3" t="e">
        <f>AND(Data!F16,"AAAAAHa7/14=")</f>
        <v>#VALUE!</v>
      </c>
      <c r="CR3" t="e">
        <f>AND(Data!G16,"AAAAAHa7/18=")</f>
        <v>#VALUE!</v>
      </c>
      <c r="CS3" t="e">
        <f>AND(Data!H16,"AAAAAHa7/2A=")</f>
        <v>#VALUE!</v>
      </c>
      <c r="CT3" t="e">
        <f>AND(Data!I16,"AAAAAHa7/2E=")</f>
        <v>#VALUE!</v>
      </c>
      <c r="CU3" t="e">
        <f>AND(Data!J16,"AAAAAHa7/2I=")</f>
        <v>#VALUE!</v>
      </c>
      <c r="CV3" t="e">
        <f>AND(Data!K16,"AAAAAHa7/2M=")</f>
        <v>#VALUE!</v>
      </c>
      <c r="CW3" t="e">
        <f>AND(Data!L16,"AAAAAHa7/2Q=")</f>
        <v>#VALUE!</v>
      </c>
      <c r="CX3" t="e">
        <f>AND(Data!M16,"AAAAAHa7/2U=")</f>
        <v>#VALUE!</v>
      </c>
      <c r="CY3" t="e">
        <f>AND(Data!N16,"AAAAAHa7/2Y=")</f>
        <v>#VALUE!</v>
      </c>
      <c r="CZ3" t="e">
        <f>AND(Data!O16,"AAAAAHa7/2c=")</f>
        <v>#VALUE!</v>
      </c>
      <c r="DA3" t="e">
        <f>AND(Data!P16,"AAAAAHa7/2g=")</f>
        <v>#VALUE!</v>
      </c>
      <c r="DB3" t="e">
        <f>AND(Data!Q16,"AAAAAHa7/2k=")</f>
        <v>#VALUE!</v>
      </c>
      <c r="DC3" t="e">
        <f>AND(Data!R16,"AAAAAHa7/2o=")</f>
        <v>#VALUE!</v>
      </c>
      <c r="DD3" t="e">
        <f>AND(Data!S16,"AAAAAHa7/2s=")</f>
        <v>#VALUE!</v>
      </c>
      <c r="DE3" t="e">
        <f>AND(Data!T16,"AAAAAHa7/2w=")</f>
        <v>#VALUE!</v>
      </c>
      <c r="DF3" t="e">
        <f>AND(Data!U16,"AAAAAHa7/20=")</f>
        <v>#VALUE!</v>
      </c>
      <c r="DG3" t="e">
        <f>AND(Data!V16,"AAAAAHa7/24=")</f>
        <v>#VALUE!</v>
      </c>
      <c r="DH3" t="e">
        <f>AND(Data!W16,"AAAAAHa7/28=")</f>
        <v>#VALUE!</v>
      </c>
      <c r="DI3" t="e">
        <f>AND(Data!X16,"AAAAAHa7/3A=")</f>
        <v>#VALUE!</v>
      </c>
      <c r="DJ3" t="e">
        <f>AND(Data!Y16,"AAAAAHa7/3E=")</f>
        <v>#VALUE!</v>
      </c>
      <c r="DK3" t="e">
        <f>AND(Data!Z16,"AAAAAHa7/3I=")</f>
        <v>#VALUE!</v>
      </c>
      <c r="DL3" t="e">
        <f>AND(Data!AA16,"AAAAAHa7/3M=")</f>
        <v>#VALUE!</v>
      </c>
      <c r="DM3" t="e">
        <f>AND(Data!AB16,"AAAAAHa7/3Q=")</f>
        <v>#VALUE!</v>
      </c>
      <c r="DN3" t="e">
        <f>AND(Data!AC16,"AAAAAHa7/3U=")</f>
        <v>#VALUE!</v>
      </c>
      <c r="DO3" t="e">
        <f>AND(Data!#REF!,"AAAAAHa7/3Y=")</f>
        <v>#REF!</v>
      </c>
      <c r="DP3" t="e">
        <f>AND(Data!#REF!,"AAAAAHa7/3c=")</f>
        <v>#REF!</v>
      </c>
      <c r="DQ3" t="e">
        <f>AND(Data!#REF!,"AAAAAHa7/3g=")</f>
        <v>#REF!</v>
      </c>
      <c r="DR3" t="e">
        <f>AND(Data!#REF!,"AAAAAHa7/3k=")</f>
        <v>#REF!</v>
      </c>
      <c r="DS3" t="e">
        <f>AND(Data!#REF!,"AAAAAHa7/3o=")</f>
        <v>#REF!</v>
      </c>
      <c r="DT3" t="e">
        <f>AND(Data!#REF!,"AAAAAHa7/3s=")</f>
        <v>#REF!</v>
      </c>
      <c r="DU3" t="e">
        <f>AND(Data!#REF!,"AAAAAHa7/3w=")</f>
        <v>#REF!</v>
      </c>
      <c r="DV3" t="e">
        <f>AND(Data!#REF!,"AAAAAHa7/30=")</f>
        <v>#REF!</v>
      </c>
      <c r="DW3" t="e">
        <f>AND(Data!#REF!,"AAAAAHa7/34=")</f>
        <v>#REF!</v>
      </c>
      <c r="DX3" t="e">
        <f>AND(Data!#REF!,"AAAAAHa7/38=")</f>
        <v>#REF!</v>
      </c>
      <c r="DY3">
        <f>IF(Data!17:17,"AAAAAHa7/4A=",0)</f>
        <v>0</v>
      </c>
      <c r="DZ3" t="e">
        <f>AND(Data!A17,"AAAAAHa7/4E=")</f>
        <v>#VALUE!</v>
      </c>
      <c r="EA3" t="e">
        <f>AND(Data!B17,"AAAAAHa7/4I=")</f>
        <v>#VALUE!</v>
      </c>
      <c r="EB3" t="e">
        <f>AND(Data!C17,"AAAAAHa7/4M=")</f>
        <v>#VALUE!</v>
      </c>
      <c r="EC3" t="e">
        <f>AND(Data!D17,"AAAAAHa7/4Q=")</f>
        <v>#VALUE!</v>
      </c>
      <c r="ED3" t="e">
        <f>AND(Data!E17,"AAAAAHa7/4U=")</f>
        <v>#VALUE!</v>
      </c>
      <c r="EE3" t="e">
        <f>AND(Data!F17,"AAAAAHa7/4Y=")</f>
        <v>#VALUE!</v>
      </c>
      <c r="EF3" t="e">
        <f>AND(Data!G17,"AAAAAHa7/4c=")</f>
        <v>#VALUE!</v>
      </c>
      <c r="EG3" t="e">
        <f>AND(Data!H17,"AAAAAHa7/4g=")</f>
        <v>#VALUE!</v>
      </c>
      <c r="EH3" t="e">
        <f>AND(Data!I17,"AAAAAHa7/4k=")</f>
        <v>#VALUE!</v>
      </c>
      <c r="EI3" t="e">
        <f>AND(Data!J17,"AAAAAHa7/4o=")</f>
        <v>#VALUE!</v>
      </c>
      <c r="EJ3" t="e">
        <f>AND(Data!K17,"AAAAAHa7/4s=")</f>
        <v>#VALUE!</v>
      </c>
      <c r="EK3" t="e">
        <f>AND(Data!L17,"AAAAAHa7/4w=")</f>
        <v>#VALUE!</v>
      </c>
      <c r="EL3" t="e">
        <f>AND(Data!M17,"AAAAAHa7/40=")</f>
        <v>#VALUE!</v>
      </c>
      <c r="EM3" t="e">
        <f>AND(Data!N17,"AAAAAHa7/44=")</f>
        <v>#VALUE!</v>
      </c>
      <c r="EN3" t="e">
        <f>AND(Data!O17,"AAAAAHa7/48=")</f>
        <v>#VALUE!</v>
      </c>
      <c r="EO3" t="e">
        <f>AND(Data!P17,"AAAAAHa7/5A=")</f>
        <v>#VALUE!</v>
      </c>
      <c r="EP3" t="e">
        <f>AND(Data!Q17,"AAAAAHa7/5E=")</f>
        <v>#VALUE!</v>
      </c>
      <c r="EQ3" t="e">
        <f>AND(Data!R17,"AAAAAHa7/5I=")</f>
        <v>#VALUE!</v>
      </c>
      <c r="ER3" t="e">
        <f>AND(Data!S17,"AAAAAHa7/5M=")</f>
        <v>#VALUE!</v>
      </c>
      <c r="ES3" t="e">
        <f>AND(Data!T17,"AAAAAHa7/5Q=")</f>
        <v>#VALUE!</v>
      </c>
      <c r="ET3" t="e">
        <f>AND(Data!U17,"AAAAAHa7/5U=")</f>
        <v>#VALUE!</v>
      </c>
      <c r="EU3" t="e">
        <f>AND(Data!V17,"AAAAAHa7/5Y=")</f>
        <v>#VALUE!</v>
      </c>
      <c r="EV3" t="e">
        <f>AND(Data!W17,"AAAAAHa7/5c=")</f>
        <v>#VALUE!</v>
      </c>
      <c r="EW3" t="e">
        <f>AND(Data!X17,"AAAAAHa7/5g=")</f>
        <v>#VALUE!</v>
      </c>
      <c r="EX3" t="e">
        <f>AND(Data!Y17,"AAAAAHa7/5k=")</f>
        <v>#VALUE!</v>
      </c>
      <c r="EY3" t="e">
        <f>AND(Data!Z17,"AAAAAHa7/5o=")</f>
        <v>#VALUE!</v>
      </c>
      <c r="EZ3" t="e">
        <f>AND(Data!AA17,"AAAAAHa7/5s=")</f>
        <v>#VALUE!</v>
      </c>
      <c r="FA3" t="e">
        <f>AND(Data!AB17,"AAAAAHa7/5w=")</f>
        <v>#VALUE!</v>
      </c>
      <c r="FB3" t="e">
        <f>AND(Data!AC17,"AAAAAHa7/50=")</f>
        <v>#VALUE!</v>
      </c>
      <c r="FC3" t="e">
        <f>AND(Data!#REF!,"AAAAAHa7/54=")</f>
        <v>#REF!</v>
      </c>
      <c r="FD3" t="e">
        <f>AND(Data!#REF!,"AAAAAHa7/58=")</f>
        <v>#REF!</v>
      </c>
      <c r="FE3" t="e">
        <f>AND(Data!#REF!,"AAAAAHa7/6A=")</f>
        <v>#REF!</v>
      </c>
      <c r="FF3" t="e">
        <f>AND(Data!#REF!,"AAAAAHa7/6E=")</f>
        <v>#REF!</v>
      </c>
      <c r="FG3" t="e">
        <f>AND(Data!#REF!,"AAAAAHa7/6I=")</f>
        <v>#REF!</v>
      </c>
      <c r="FH3" t="e">
        <f>AND(Data!#REF!,"AAAAAHa7/6M=")</f>
        <v>#REF!</v>
      </c>
      <c r="FI3" t="e">
        <f>AND(Data!#REF!,"AAAAAHa7/6Q=")</f>
        <v>#REF!</v>
      </c>
      <c r="FJ3" t="e">
        <f>AND(Data!#REF!,"AAAAAHa7/6U=")</f>
        <v>#REF!</v>
      </c>
      <c r="FK3" t="e">
        <f>AND(Data!#REF!,"AAAAAHa7/6Y=")</f>
        <v>#REF!</v>
      </c>
      <c r="FL3" t="e">
        <f>AND(Data!#REF!,"AAAAAHa7/6c=")</f>
        <v>#REF!</v>
      </c>
      <c r="FM3">
        <f>IF(Data!18:18,"AAAAAHa7/6g=",0)</f>
        <v>0</v>
      </c>
      <c r="FN3" t="e">
        <f>AND(Data!A18,"AAAAAHa7/6k=")</f>
        <v>#VALUE!</v>
      </c>
      <c r="FO3" t="e">
        <f>AND(Data!B18,"AAAAAHa7/6o=")</f>
        <v>#VALUE!</v>
      </c>
      <c r="FP3" t="e">
        <f>AND(Data!C18,"AAAAAHa7/6s=")</f>
        <v>#VALUE!</v>
      </c>
      <c r="FQ3" t="e">
        <f>AND(Data!D18,"AAAAAHa7/6w=")</f>
        <v>#VALUE!</v>
      </c>
      <c r="FR3" t="e">
        <f>AND(Data!E18,"AAAAAHa7/60=")</f>
        <v>#VALUE!</v>
      </c>
      <c r="FS3" t="e">
        <f>AND(Data!F18,"AAAAAHa7/64=")</f>
        <v>#VALUE!</v>
      </c>
      <c r="FT3" t="e">
        <f>AND(Data!G18,"AAAAAHa7/68=")</f>
        <v>#VALUE!</v>
      </c>
      <c r="FU3" t="e">
        <f>AND(Data!H18,"AAAAAHa7/7A=")</f>
        <v>#VALUE!</v>
      </c>
      <c r="FV3" t="e">
        <f>AND(Data!I18,"AAAAAHa7/7E=")</f>
        <v>#VALUE!</v>
      </c>
      <c r="FW3" t="e">
        <f>AND(Data!J18,"AAAAAHa7/7I=")</f>
        <v>#VALUE!</v>
      </c>
      <c r="FX3" t="e">
        <f>AND(Data!K18,"AAAAAHa7/7M=")</f>
        <v>#VALUE!</v>
      </c>
      <c r="FY3" t="e">
        <f>AND(Data!L18,"AAAAAHa7/7Q=")</f>
        <v>#VALUE!</v>
      </c>
      <c r="FZ3" t="e">
        <f>AND(Data!M18,"AAAAAHa7/7U=")</f>
        <v>#VALUE!</v>
      </c>
      <c r="GA3" t="e">
        <f>AND(Data!N18,"AAAAAHa7/7Y=")</f>
        <v>#VALUE!</v>
      </c>
      <c r="GB3" t="e">
        <f>AND(Data!O18,"AAAAAHa7/7c=")</f>
        <v>#VALUE!</v>
      </c>
      <c r="GC3" t="e">
        <f>AND(Data!P18,"AAAAAHa7/7g=")</f>
        <v>#VALUE!</v>
      </c>
      <c r="GD3" t="e">
        <f>AND(Data!Q18,"AAAAAHa7/7k=")</f>
        <v>#VALUE!</v>
      </c>
      <c r="GE3" t="e">
        <f>AND(Data!R18,"AAAAAHa7/7o=")</f>
        <v>#VALUE!</v>
      </c>
      <c r="GF3" t="e">
        <f>AND(Data!S18,"AAAAAHa7/7s=")</f>
        <v>#VALUE!</v>
      </c>
      <c r="GG3" t="e">
        <f>AND(Data!T18,"AAAAAHa7/7w=")</f>
        <v>#VALUE!</v>
      </c>
      <c r="GH3" t="e">
        <f>AND(Data!U18,"AAAAAHa7/70=")</f>
        <v>#VALUE!</v>
      </c>
      <c r="GI3" t="e">
        <f>AND(Data!V18,"AAAAAHa7/74=")</f>
        <v>#VALUE!</v>
      </c>
      <c r="GJ3" t="e">
        <f>AND(Data!W18,"AAAAAHa7/78=")</f>
        <v>#VALUE!</v>
      </c>
      <c r="GK3" t="e">
        <f>AND(Data!X18,"AAAAAHa7/8A=")</f>
        <v>#VALUE!</v>
      </c>
      <c r="GL3" t="e">
        <f>AND(Data!Y18,"AAAAAHa7/8E=")</f>
        <v>#VALUE!</v>
      </c>
      <c r="GM3" t="e">
        <f>AND(Data!Z18,"AAAAAHa7/8I=")</f>
        <v>#VALUE!</v>
      </c>
      <c r="GN3" t="e">
        <f>AND(Data!AA18,"AAAAAHa7/8M=")</f>
        <v>#VALUE!</v>
      </c>
      <c r="GO3" t="e">
        <f>AND(Data!AB18,"AAAAAHa7/8Q=")</f>
        <v>#VALUE!</v>
      </c>
      <c r="GP3" t="e">
        <f>AND(Data!AC18,"AAAAAHa7/8U=")</f>
        <v>#VALUE!</v>
      </c>
      <c r="GQ3" t="e">
        <f>AND(Data!#REF!,"AAAAAHa7/8Y=")</f>
        <v>#REF!</v>
      </c>
      <c r="GR3" t="e">
        <f>AND(Data!#REF!,"AAAAAHa7/8c=")</f>
        <v>#REF!</v>
      </c>
      <c r="GS3" t="e">
        <f>AND(Data!#REF!,"AAAAAHa7/8g=")</f>
        <v>#REF!</v>
      </c>
      <c r="GT3" t="e">
        <f>AND(Data!#REF!,"AAAAAHa7/8k=")</f>
        <v>#REF!</v>
      </c>
      <c r="GU3" t="e">
        <f>AND(Data!#REF!,"AAAAAHa7/8o=")</f>
        <v>#REF!</v>
      </c>
      <c r="GV3" t="e">
        <f>AND(Data!#REF!,"AAAAAHa7/8s=")</f>
        <v>#REF!</v>
      </c>
      <c r="GW3" t="e">
        <f>AND(Data!#REF!,"AAAAAHa7/8w=")</f>
        <v>#REF!</v>
      </c>
      <c r="GX3" t="e">
        <f>AND(Data!#REF!,"AAAAAHa7/80=")</f>
        <v>#REF!</v>
      </c>
      <c r="GY3" t="e">
        <f>AND(Data!#REF!,"AAAAAHa7/84=")</f>
        <v>#REF!</v>
      </c>
      <c r="GZ3" t="e">
        <f>AND(Data!#REF!,"AAAAAHa7/88=")</f>
        <v>#REF!</v>
      </c>
      <c r="HA3">
        <f>IF(Data!19:19,"AAAAAHa7/9A=",0)</f>
        <v>0</v>
      </c>
      <c r="HB3" t="e">
        <f>AND(Data!A19,"AAAAAHa7/9E=")</f>
        <v>#VALUE!</v>
      </c>
      <c r="HC3" t="e">
        <f>AND(Data!B19,"AAAAAHa7/9I=")</f>
        <v>#VALUE!</v>
      </c>
      <c r="HD3" t="e">
        <f>AND(Data!C19,"AAAAAHa7/9M=")</f>
        <v>#VALUE!</v>
      </c>
      <c r="HE3" t="e">
        <f>AND(Data!D19,"AAAAAHa7/9Q=")</f>
        <v>#VALUE!</v>
      </c>
      <c r="HF3" t="e">
        <f>AND(Data!E19,"AAAAAHa7/9U=")</f>
        <v>#VALUE!</v>
      </c>
      <c r="HG3" t="e">
        <f>AND(Data!F19,"AAAAAHa7/9Y=")</f>
        <v>#VALUE!</v>
      </c>
      <c r="HH3" t="e">
        <f>AND(Data!G19,"AAAAAHa7/9c=")</f>
        <v>#VALUE!</v>
      </c>
      <c r="HI3" t="e">
        <f>AND(Data!H19,"AAAAAHa7/9g=")</f>
        <v>#VALUE!</v>
      </c>
      <c r="HJ3" t="e">
        <f>AND(Data!I19,"AAAAAHa7/9k=")</f>
        <v>#VALUE!</v>
      </c>
      <c r="HK3" t="e">
        <f>AND(Data!J19,"AAAAAHa7/9o=")</f>
        <v>#VALUE!</v>
      </c>
      <c r="HL3" t="e">
        <f>AND(Data!K19,"AAAAAHa7/9s=")</f>
        <v>#VALUE!</v>
      </c>
      <c r="HM3" t="e">
        <f>AND(Data!L19,"AAAAAHa7/9w=")</f>
        <v>#VALUE!</v>
      </c>
      <c r="HN3" t="e">
        <f>AND(Data!M19,"AAAAAHa7/90=")</f>
        <v>#VALUE!</v>
      </c>
      <c r="HO3" t="e">
        <f>AND(Data!N19,"AAAAAHa7/94=")</f>
        <v>#VALUE!</v>
      </c>
      <c r="HP3" t="e">
        <f>AND(Data!O19,"AAAAAHa7/98=")</f>
        <v>#VALUE!</v>
      </c>
      <c r="HQ3" t="e">
        <f>AND(Data!P19,"AAAAAHa7/+A=")</f>
        <v>#VALUE!</v>
      </c>
      <c r="HR3" t="e">
        <f>AND(Data!Q19,"AAAAAHa7/+E=")</f>
        <v>#VALUE!</v>
      </c>
      <c r="HS3" t="e">
        <f>AND(Data!R19,"AAAAAHa7/+I=")</f>
        <v>#VALUE!</v>
      </c>
      <c r="HT3" t="e">
        <f>AND(Data!S19,"AAAAAHa7/+M=")</f>
        <v>#VALUE!</v>
      </c>
      <c r="HU3" t="e">
        <f>AND(Data!T19,"AAAAAHa7/+Q=")</f>
        <v>#VALUE!</v>
      </c>
      <c r="HV3" t="e">
        <f>AND(Data!U19,"AAAAAHa7/+U=")</f>
        <v>#VALUE!</v>
      </c>
      <c r="HW3" t="e">
        <f>AND(Data!V19,"AAAAAHa7/+Y=")</f>
        <v>#VALUE!</v>
      </c>
      <c r="HX3" t="e">
        <f>AND(Data!W19,"AAAAAHa7/+c=")</f>
        <v>#VALUE!</v>
      </c>
      <c r="HY3" t="e">
        <f>AND(Data!X19,"AAAAAHa7/+g=")</f>
        <v>#VALUE!</v>
      </c>
      <c r="HZ3" t="e">
        <f>AND(Data!Y19,"AAAAAHa7/+k=")</f>
        <v>#VALUE!</v>
      </c>
      <c r="IA3" t="e">
        <f>AND(Data!Z19,"AAAAAHa7/+o=")</f>
        <v>#VALUE!</v>
      </c>
      <c r="IB3" t="e">
        <f>AND(Data!AA19,"AAAAAHa7/+s=")</f>
        <v>#VALUE!</v>
      </c>
      <c r="IC3" t="e">
        <f>AND(Data!AB19,"AAAAAHa7/+w=")</f>
        <v>#VALUE!</v>
      </c>
      <c r="ID3" t="e">
        <f>AND(Data!AC19,"AAAAAHa7/+0=")</f>
        <v>#VALUE!</v>
      </c>
      <c r="IE3" t="e">
        <f>AND(Data!#REF!,"AAAAAHa7/+4=")</f>
        <v>#REF!</v>
      </c>
      <c r="IF3" t="e">
        <f>AND(Data!#REF!,"AAAAAHa7/+8=")</f>
        <v>#REF!</v>
      </c>
      <c r="IG3" t="e">
        <f>AND(Data!#REF!,"AAAAAHa7//A=")</f>
        <v>#REF!</v>
      </c>
      <c r="IH3" t="e">
        <f>AND(Data!#REF!,"AAAAAHa7//E=")</f>
        <v>#REF!</v>
      </c>
      <c r="II3" t="e">
        <f>AND(Data!#REF!,"AAAAAHa7//I=")</f>
        <v>#REF!</v>
      </c>
      <c r="IJ3" t="e">
        <f>AND(Data!#REF!,"AAAAAHa7//M=")</f>
        <v>#REF!</v>
      </c>
      <c r="IK3" t="e">
        <f>AND(Data!#REF!,"AAAAAHa7//Q=")</f>
        <v>#REF!</v>
      </c>
      <c r="IL3" t="e">
        <f>AND(Data!#REF!,"AAAAAHa7//U=")</f>
        <v>#REF!</v>
      </c>
      <c r="IM3" t="e">
        <f>AND(Data!#REF!,"AAAAAHa7//Y=")</f>
        <v>#REF!</v>
      </c>
      <c r="IN3" t="e">
        <f>AND(Data!#REF!,"AAAAAHa7//c=")</f>
        <v>#REF!</v>
      </c>
      <c r="IO3">
        <f>IF(Data!20:20,"AAAAAHa7//g=",0)</f>
        <v>0</v>
      </c>
      <c r="IP3" t="e">
        <f>AND(Data!A20,"AAAAAHa7//k=")</f>
        <v>#VALUE!</v>
      </c>
      <c r="IQ3" t="e">
        <f>AND(Data!B20,"AAAAAHa7//o=")</f>
        <v>#VALUE!</v>
      </c>
      <c r="IR3" t="e">
        <f>AND(Data!C20,"AAAAAHa7//s=")</f>
        <v>#VALUE!</v>
      </c>
      <c r="IS3" t="e">
        <f>AND(Data!D20,"AAAAAHa7//w=")</f>
        <v>#VALUE!</v>
      </c>
      <c r="IT3" t="e">
        <f>AND(Data!E20,"AAAAAHa7//0=")</f>
        <v>#VALUE!</v>
      </c>
      <c r="IU3" t="e">
        <f>AND(Data!F20,"AAAAAHa7//4=")</f>
        <v>#VALUE!</v>
      </c>
      <c r="IV3" t="e">
        <f>AND(Data!G20,"AAAAAHa7//8=")</f>
        <v>#VALUE!</v>
      </c>
    </row>
    <row r="4" spans="1:256" ht="12.75">
      <c r="A4" t="e">
        <f>AND(Data!H20,"AAAAACvmxQA=")</f>
        <v>#VALUE!</v>
      </c>
      <c r="B4" t="e">
        <f>AND(Data!I20,"AAAAACvmxQE=")</f>
        <v>#VALUE!</v>
      </c>
      <c r="C4" t="e">
        <f>AND(Data!J20,"AAAAACvmxQI=")</f>
        <v>#VALUE!</v>
      </c>
      <c r="D4" t="e">
        <f>AND(Data!K20,"AAAAACvmxQM=")</f>
        <v>#VALUE!</v>
      </c>
      <c r="E4" t="e">
        <f>AND(Data!L20,"AAAAACvmxQQ=")</f>
        <v>#VALUE!</v>
      </c>
      <c r="F4" t="e">
        <f>AND(Data!M20,"AAAAACvmxQU=")</f>
        <v>#VALUE!</v>
      </c>
      <c r="G4" t="e">
        <f>AND(Data!N20,"AAAAACvmxQY=")</f>
        <v>#VALUE!</v>
      </c>
      <c r="H4" t="e">
        <f>AND(Data!O20,"AAAAACvmxQc=")</f>
        <v>#VALUE!</v>
      </c>
      <c r="I4" t="e">
        <f>AND(Data!P20,"AAAAACvmxQg=")</f>
        <v>#VALUE!</v>
      </c>
      <c r="J4" t="e">
        <f>AND(Data!Q20,"AAAAACvmxQk=")</f>
        <v>#VALUE!</v>
      </c>
      <c r="K4" t="e">
        <f>AND(Data!R20,"AAAAACvmxQo=")</f>
        <v>#VALUE!</v>
      </c>
      <c r="L4" t="e">
        <f>AND(Data!S20,"AAAAACvmxQs=")</f>
        <v>#VALUE!</v>
      </c>
      <c r="M4" t="e">
        <f>AND(Data!T20,"AAAAACvmxQw=")</f>
        <v>#VALUE!</v>
      </c>
      <c r="N4" t="e">
        <f>AND(Data!U20,"AAAAACvmxQ0=")</f>
        <v>#VALUE!</v>
      </c>
      <c r="O4" t="e">
        <f>AND(Data!V20,"AAAAACvmxQ4=")</f>
        <v>#VALUE!</v>
      </c>
      <c r="P4" t="e">
        <f>AND(Data!W20,"AAAAACvmxQ8=")</f>
        <v>#VALUE!</v>
      </c>
      <c r="Q4" t="e">
        <f>AND(Data!X20,"AAAAACvmxRA=")</f>
        <v>#VALUE!</v>
      </c>
      <c r="R4" t="e">
        <f>AND(Data!Y20,"AAAAACvmxRE=")</f>
        <v>#VALUE!</v>
      </c>
      <c r="S4" t="e">
        <f>AND(Data!Z20,"AAAAACvmxRI=")</f>
        <v>#VALUE!</v>
      </c>
      <c r="T4" t="e">
        <f>AND(Data!AA20,"AAAAACvmxRM=")</f>
        <v>#VALUE!</v>
      </c>
      <c r="U4" t="e">
        <f>AND(Data!AB20,"AAAAACvmxRQ=")</f>
        <v>#VALUE!</v>
      </c>
      <c r="V4" t="e">
        <f>AND(Data!AC20,"AAAAACvmxRU=")</f>
        <v>#VALUE!</v>
      </c>
      <c r="W4" t="e">
        <f>AND(Data!#REF!,"AAAAACvmxRY=")</f>
        <v>#REF!</v>
      </c>
      <c r="X4" t="e">
        <f>AND(Data!#REF!,"AAAAACvmxRc=")</f>
        <v>#REF!</v>
      </c>
      <c r="Y4" t="e">
        <f>AND(Data!#REF!,"AAAAACvmxRg=")</f>
        <v>#REF!</v>
      </c>
      <c r="Z4" t="e">
        <f>AND(Data!#REF!,"AAAAACvmxRk=")</f>
        <v>#REF!</v>
      </c>
      <c r="AA4" t="e">
        <f>AND(Data!#REF!,"AAAAACvmxRo=")</f>
        <v>#REF!</v>
      </c>
      <c r="AB4" t="e">
        <f>AND(Data!#REF!,"AAAAACvmxRs=")</f>
        <v>#REF!</v>
      </c>
      <c r="AC4" t="e">
        <f>AND(Data!#REF!,"AAAAACvmxRw=")</f>
        <v>#REF!</v>
      </c>
      <c r="AD4" t="e">
        <f>AND(Data!#REF!,"AAAAACvmxR0=")</f>
        <v>#REF!</v>
      </c>
      <c r="AE4" t="e">
        <f>AND(Data!#REF!,"AAAAACvmxR4=")</f>
        <v>#REF!</v>
      </c>
      <c r="AF4" t="e">
        <f>AND(Data!#REF!,"AAAAACvmxR8=")</f>
        <v>#REF!</v>
      </c>
      <c r="AG4">
        <f>IF(Data!21:21,"AAAAACvmxSA=",0)</f>
        <v>0</v>
      </c>
      <c r="AH4" t="e">
        <f>AND(Data!A21,"AAAAACvmxSE=")</f>
        <v>#VALUE!</v>
      </c>
      <c r="AI4" t="e">
        <f>AND(Data!B21,"AAAAACvmxSI=")</f>
        <v>#VALUE!</v>
      </c>
      <c r="AJ4" t="e">
        <f>AND(Data!C21,"AAAAACvmxSM=")</f>
        <v>#VALUE!</v>
      </c>
      <c r="AK4" t="e">
        <f>AND(Data!D21,"AAAAACvmxSQ=")</f>
        <v>#VALUE!</v>
      </c>
      <c r="AL4" t="e">
        <f>AND(Data!E21,"AAAAACvmxSU=")</f>
        <v>#VALUE!</v>
      </c>
      <c r="AM4" t="e">
        <f>AND(Data!F21,"AAAAACvmxSY=")</f>
        <v>#VALUE!</v>
      </c>
      <c r="AN4" t="e">
        <f>AND(Data!G21,"AAAAACvmxSc=")</f>
        <v>#VALUE!</v>
      </c>
      <c r="AO4" t="e">
        <f>AND(Data!H21,"AAAAACvmxSg=")</f>
        <v>#VALUE!</v>
      </c>
      <c r="AP4" t="e">
        <f>AND(Data!I21,"AAAAACvmxSk=")</f>
        <v>#VALUE!</v>
      </c>
      <c r="AQ4" t="e">
        <f>AND(Data!J21,"AAAAACvmxSo=")</f>
        <v>#VALUE!</v>
      </c>
      <c r="AR4" t="e">
        <f>AND(Data!K21,"AAAAACvmxSs=")</f>
        <v>#VALUE!</v>
      </c>
      <c r="AS4" t="e">
        <f>AND(Data!L21,"AAAAACvmxSw=")</f>
        <v>#VALUE!</v>
      </c>
      <c r="AT4" t="e">
        <f>AND(Data!M21,"AAAAACvmxS0=")</f>
        <v>#VALUE!</v>
      </c>
      <c r="AU4" t="e">
        <f>AND(Data!N21,"AAAAACvmxS4=")</f>
        <v>#VALUE!</v>
      </c>
      <c r="AV4" t="e">
        <f>AND(Data!O21,"AAAAACvmxS8=")</f>
        <v>#VALUE!</v>
      </c>
      <c r="AW4" t="e">
        <f>AND(Data!P21,"AAAAACvmxTA=")</f>
        <v>#VALUE!</v>
      </c>
      <c r="AX4" t="e">
        <f>AND(Data!Q21,"AAAAACvmxTE=")</f>
        <v>#VALUE!</v>
      </c>
      <c r="AY4" t="e">
        <f>AND(Data!R21,"AAAAACvmxTI=")</f>
        <v>#VALUE!</v>
      </c>
      <c r="AZ4" t="e">
        <f>AND(Data!S21,"AAAAACvmxTM=")</f>
        <v>#VALUE!</v>
      </c>
      <c r="BA4" t="e">
        <f>AND(Data!T21,"AAAAACvmxTQ=")</f>
        <v>#VALUE!</v>
      </c>
      <c r="BB4" t="e">
        <f>AND(Data!U21,"AAAAACvmxTU=")</f>
        <v>#VALUE!</v>
      </c>
      <c r="BC4" t="e">
        <f>AND(Data!V21,"AAAAACvmxTY=")</f>
        <v>#VALUE!</v>
      </c>
      <c r="BD4" t="e">
        <f>AND(Data!W21,"AAAAACvmxTc=")</f>
        <v>#VALUE!</v>
      </c>
      <c r="BE4" t="e">
        <f>AND(Data!X21,"AAAAACvmxTg=")</f>
        <v>#VALUE!</v>
      </c>
      <c r="BF4" t="e">
        <f>AND(Data!Y21,"AAAAACvmxTk=")</f>
        <v>#VALUE!</v>
      </c>
      <c r="BG4" t="e">
        <f>AND(Data!Z21,"AAAAACvmxTo=")</f>
        <v>#VALUE!</v>
      </c>
      <c r="BH4" t="e">
        <f>AND(Data!AA21,"AAAAACvmxTs=")</f>
        <v>#VALUE!</v>
      </c>
      <c r="BI4" t="e">
        <f>AND(Data!AB21,"AAAAACvmxTw=")</f>
        <v>#VALUE!</v>
      </c>
      <c r="BJ4" t="e">
        <f>AND(Data!AC21,"AAAAACvmxT0=")</f>
        <v>#VALUE!</v>
      </c>
      <c r="BK4" t="e">
        <f>AND(Data!#REF!,"AAAAACvmxT4=")</f>
        <v>#REF!</v>
      </c>
      <c r="BL4" t="e">
        <f>AND(Data!#REF!,"AAAAACvmxT8=")</f>
        <v>#REF!</v>
      </c>
      <c r="BM4" t="e">
        <f>AND(Data!#REF!,"AAAAACvmxUA=")</f>
        <v>#REF!</v>
      </c>
      <c r="BN4" t="e">
        <f>AND(Data!#REF!,"AAAAACvmxUE=")</f>
        <v>#REF!</v>
      </c>
      <c r="BO4" t="e">
        <f>AND(Data!#REF!,"AAAAACvmxUI=")</f>
        <v>#REF!</v>
      </c>
      <c r="BP4" t="e">
        <f>AND(Data!#REF!,"AAAAACvmxUM=")</f>
        <v>#REF!</v>
      </c>
      <c r="BQ4" t="e">
        <f>AND(Data!#REF!,"AAAAACvmxUQ=")</f>
        <v>#REF!</v>
      </c>
      <c r="BR4" t="e">
        <f>AND(Data!#REF!,"AAAAACvmxUU=")</f>
        <v>#REF!</v>
      </c>
      <c r="BS4" t="e">
        <f>AND(Data!#REF!,"AAAAACvmxUY=")</f>
        <v>#REF!</v>
      </c>
      <c r="BT4" t="e">
        <f>AND(Data!#REF!,"AAAAACvmxUc=")</f>
        <v>#REF!</v>
      </c>
      <c r="BU4">
        <f>IF(Data!22:22,"AAAAACvmxUg=",0)</f>
        <v>0</v>
      </c>
      <c r="BV4" t="e">
        <f>AND(Data!A22,"AAAAACvmxUk=")</f>
        <v>#VALUE!</v>
      </c>
      <c r="BW4" t="e">
        <f>AND(Data!B22,"AAAAACvmxUo=")</f>
        <v>#VALUE!</v>
      </c>
      <c r="BX4" t="e">
        <f>AND(Data!C22,"AAAAACvmxUs=")</f>
        <v>#VALUE!</v>
      </c>
      <c r="BY4" t="e">
        <f>AND(Data!D22,"AAAAACvmxUw=")</f>
        <v>#VALUE!</v>
      </c>
      <c r="BZ4" t="e">
        <f>AND(Data!E22,"AAAAACvmxU0=")</f>
        <v>#VALUE!</v>
      </c>
      <c r="CA4" t="e">
        <f>AND(Data!F22,"AAAAACvmxU4=")</f>
        <v>#VALUE!</v>
      </c>
      <c r="CB4" t="e">
        <f>AND(Data!G22,"AAAAACvmxU8=")</f>
        <v>#VALUE!</v>
      </c>
      <c r="CC4" t="e">
        <f>AND(Data!H22,"AAAAACvmxVA=")</f>
        <v>#VALUE!</v>
      </c>
      <c r="CD4" t="e">
        <f>AND(Data!I22,"AAAAACvmxVE=")</f>
        <v>#VALUE!</v>
      </c>
      <c r="CE4" t="e">
        <f>AND(Data!J22,"AAAAACvmxVI=")</f>
        <v>#VALUE!</v>
      </c>
      <c r="CF4" t="e">
        <f>AND(Data!K22,"AAAAACvmxVM=")</f>
        <v>#VALUE!</v>
      </c>
      <c r="CG4" t="e">
        <f>AND(Data!L22,"AAAAACvmxVQ=")</f>
        <v>#VALUE!</v>
      </c>
      <c r="CH4" t="e">
        <f>AND(Data!M22,"AAAAACvmxVU=")</f>
        <v>#VALUE!</v>
      </c>
      <c r="CI4" t="e">
        <f>AND(Data!N22,"AAAAACvmxVY=")</f>
        <v>#VALUE!</v>
      </c>
      <c r="CJ4" t="e">
        <f>AND(Data!O22,"AAAAACvmxVc=")</f>
        <v>#VALUE!</v>
      </c>
      <c r="CK4" t="e">
        <f>AND(Data!P22,"AAAAACvmxVg=")</f>
        <v>#VALUE!</v>
      </c>
      <c r="CL4" t="e">
        <f>AND(Data!Q22,"AAAAACvmxVk=")</f>
        <v>#VALUE!</v>
      </c>
      <c r="CM4" t="e">
        <f>AND(Data!R22,"AAAAACvmxVo=")</f>
        <v>#VALUE!</v>
      </c>
      <c r="CN4" t="e">
        <f>AND(Data!S22,"AAAAACvmxVs=")</f>
        <v>#VALUE!</v>
      </c>
      <c r="CO4" t="e">
        <f>AND(Data!T22,"AAAAACvmxVw=")</f>
        <v>#VALUE!</v>
      </c>
      <c r="CP4" t="e">
        <f>AND(Data!U22,"AAAAACvmxV0=")</f>
        <v>#VALUE!</v>
      </c>
      <c r="CQ4" t="e">
        <f>AND(Data!V22,"AAAAACvmxV4=")</f>
        <v>#VALUE!</v>
      </c>
      <c r="CR4" t="e">
        <f>AND(Data!W22,"AAAAACvmxV8=")</f>
        <v>#VALUE!</v>
      </c>
      <c r="CS4" t="e">
        <f>AND(Data!X22,"AAAAACvmxWA=")</f>
        <v>#VALUE!</v>
      </c>
      <c r="CT4" t="e">
        <f>AND(Data!Y22,"AAAAACvmxWE=")</f>
        <v>#VALUE!</v>
      </c>
      <c r="CU4" t="e">
        <f>AND(Data!Z22,"AAAAACvmxWI=")</f>
        <v>#VALUE!</v>
      </c>
      <c r="CV4" t="e">
        <f>AND(Data!AA22,"AAAAACvmxWM=")</f>
        <v>#VALUE!</v>
      </c>
      <c r="CW4" t="e">
        <f>AND(Data!AB22,"AAAAACvmxWQ=")</f>
        <v>#VALUE!</v>
      </c>
      <c r="CX4" t="e">
        <f>AND(Data!AC22,"AAAAACvmxWU=")</f>
        <v>#VALUE!</v>
      </c>
      <c r="CY4" t="e">
        <f>AND(Data!#REF!,"AAAAACvmxWY=")</f>
        <v>#REF!</v>
      </c>
      <c r="CZ4" t="e">
        <f>AND(Data!#REF!,"AAAAACvmxWc=")</f>
        <v>#REF!</v>
      </c>
      <c r="DA4" t="e">
        <f>AND(Data!#REF!,"AAAAACvmxWg=")</f>
        <v>#REF!</v>
      </c>
      <c r="DB4" t="e">
        <f>AND(Data!#REF!,"AAAAACvmxWk=")</f>
        <v>#REF!</v>
      </c>
      <c r="DC4" t="e">
        <f>AND(Data!#REF!,"AAAAACvmxWo=")</f>
        <v>#REF!</v>
      </c>
      <c r="DD4" t="e">
        <f>AND(Data!#REF!,"AAAAACvmxWs=")</f>
        <v>#REF!</v>
      </c>
      <c r="DE4" t="e">
        <f>AND(Data!#REF!,"AAAAACvmxWw=")</f>
        <v>#REF!</v>
      </c>
      <c r="DF4" t="e">
        <f>AND(Data!#REF!,"AAAAACvmxW0=")</f>
        <v>#REF!</v>
      </c>
      <c r="DG4" t="e">
        <f>AND(Data!#REF!,"AAAAACvmxW4=")</f>
        <v>#REF!</v>
      </c>
      <c r="DH4" t="e">
        <f>AND(Data!#REF!,"AAAAACvmxW8=")</f>
        <v>#REF!</v>
      </c>
      <c r="DI4">
        <f>IF(Data!23:23,"AAAAACvmxXA=",0)</f>
        <v>0</v>
      </c>
      <c r="DJ4" t="e">
        <f>AND(Data!A23,"AAAAACvmxXE=")</f>
        <v>#VALUE!</v>
      </c>
      <c r="DK4" t="e">
        <f>AND(Data!B23,"AAAAACvmxXI=")</f>
        <v>#VALUE!</v>
      </c>
      <c r="DL4" t="e">
        <f>AND(Data!C23,"AAAAACvmxXM=")</f>
        <v>#VALUE!</v>
      </c>
      <c r="DM4" t="e">
        <f>AND(Data!D23,"AAAAACvmxXQ=")</f>
        <v>#VALUE!</v>
      </c>
      <c r="DN4" t="e">
        <f>AND(Data!E23,"AAAAACvmxXU=")</f>
        <v>#VALUE!</v>
      </c>
      <c r="DO4" t="e">
        <f>AND(Data!F23,"AAAAACvmxXY=")</f>
        <v>#VALUE!</v>
      </c>
      <c r="DP4" t="e">
        <f>AND(Data!G23,"AAAAACvmxXc=")</f>
        <v>#VALUE!</v>
      </c>
      <c r="DQ4" t="e">
        <f>AND(Data!H23,"AAAAACvmxXg=")</f>
        <v>#VALUE!</v>
      </c>
      <c r="DR4" t="e">
        <f>AND(Data!I23,"AAAAACvmxXk=")</f>
        <v>#VALUE!</v>
      </c>
      <c r="DS4" t="e">
        <f>AND(Data!J23,"AAAAACvmxXo=")</f>
        <v>#VALUE!</v>
      </c>
      <c r="DT4" t="e">
        <f>AND(Data!K23,"AAAAACvmxXs=")</f>
        <v>#VALUE!</v>
      </c>
      <c r="DU4" t="e">
        <f>AND(Data!L23,"AAAAACvmxXw=")</f>
        <v>#VALUE!</v>
      </c>
      <c r="DV4" t="e">
        <f>AND(Data!M23,"AAAAACvmxX0=")</f>
        <v>#VALUE!</v>
      </c>
      <c r="DW4" t="e">
        <f>AND(Data!N23,"AAAAACvmxX4=")</f>
        <v>#VALUE!</v>
      </c>
      <c r="DX4" t="e">
        <f>AND(Data!O23,"AAAAACvmxX8=")</f>
        <v>#VALUE!</v>
      </c>
      <c r="DY4" t="e">
        <f>AND(Data!P23,"AAAAACvmxYA=")</f>
        <v>#VALUE!</v>
      </c>
      <c r="DZ4" t="e">
        <f>AND(Data!Q23,"AAAAACvmxYE=")</f>
        <v>#VALUE!</v>
      </c>
      <c r="EA4" t="e">
        <f>AND(Data!R23,"AAAAACvmxYI=")</f>
        <v>#VALUE!</v>
      </c>
      <c r="EB4" t="e">
        <f>AND(Data!S23,"AAAAACvmxYM=")</f>
        <v>#VALUE!</v>
      </c>
      <c r="EC4" t="e">
        <f>AND(Data!T23,"AAAAACvmxYQ=")</f>
        <v>#VALUE!</v>
      </c>
      <c r="ED4" t="e">
        <f>AND(Data!U23,"AAAAACvmxYU=")</f>
        <v>#VALUE!</v>
      </c>
      <c r="EE4" t="e">
        <f>AND(Data!V23,"AAAAACvmxYY=")</f>
        <v>#VALUE!</v>
      </c>
      <c r="EF4" t="e">
        <f>AND(Data!W23,"AAAAACvmxYc=")</f>
        <v>#VALUE!</v>
      </c>
      <c r="EG4" t="e">
        <f>AND(Data!X23,"AAAAACvmxYg=")</f>
        <v>#VALUE!</v>
      </c>
      <c r="EH4" t="e">
        <f>AND(Data!Y23,"AAAAACvmxYk=")</f>
        <v>#VALUE!</v>
      </c>
      <c r="EI4" t="e">
        <f>AND(Data!Z23,"AAAAACvmxYo=")</f>
        <v>#VALUE!</v>
      </c>
      <c r="EJ4" t="e">
        <f>AND(Data!AA23,"AAAAACvmxYs=")</f>
        <v>#VALUE!</v>
      </c>
      <c r="EK4" t="e">
        <f>AND(Data!AB23,"AAAAACvmxYw=")</f>
        <v>#VALUE!</v>
      </c>
      <c r="EL4" t="e">
        <f>AND(Data!AC23,"AAAAACvmxY0=")</f>
        <v>#VALUE!</v>
      </c>
      <c r="EM4" t="e">
        <f>AND(Data!#REF!,"AAAAACvmxY4=")</f>
        <v>#REF!</v>
      </c>
      <c r="EN4" t="e">
        <f>AND(Data!#REF!,"AAAAACvmxY8=")</f>
        <v>#REF!</v>
      </c>
      <c r="EO4" t="e">
        <f>AND(Data!#REF!,"AAAAACvmxZA=")</f>
        <v>#REF!</v>
      </c>
      <c r="EP4" t="e">
        <f>AND(Data!#REF!,"AAAAACvmxZE=")</f>
        <v>#REF!</v>
      </c>
      <c r="EQ4" t="e">
        <f>AND(Data!#REF!,"AAAAACvmxZI=")</f>
        <v>#REF!</v>
      </c>
      <c r="ER4" t="e">
        <f>AND(Data!#REF!,"AAAAACvmxZM=")</f>
        <v>#REF!</v>
      </c>
      <c r="ES4" t="e">
        <f>AND(Data!#REF!,"AAAAACvmxZQ=")</f>
        <v>#REF!</v>
      </c>
      <c r="ET4" t="e">
        <f>AND(Data!#REF!,"AAAAACvmxZU=")</f>
        <v>#REF!</v>
      </c>
      <c r="EU4" t="e">
        <f>AND(Data!#REF!,"AAAAACvmxZY=")</f>
        <v>#REF!</v>
      </c>
      <c r="EV4" t="e">
        <f>AND(Data!#REF!,"AAAAACvmxZc=")</f>
        <v>#REF!</v>
      </c>
      <c r="EW4">
        <f>IF(Data!24:24,"AAAAACvmxZg=",0)</f>
        <v>0</v>
      </c>
      <c r="EX4" t="e">
        <f>AND(Data!A24,"AAAAACvmxZk=")</f>
        <v>#VALUE!</v>
      </c>
      <c r="EY4" t="e">
        <f>AND(Data!B24,"AAAAACvmxZo=")</f>
        <v>#VALUE!</v>
      </c>
      <c r="EZ4" t="e">
        <f>AND(Data!C24,"AAAAACvmxZs=")</f>
        <v>#VALUE!</v>
      </c>
      <c r="FA4" t="e">
        <f>AND(Data!D24,"AAAAACvmxZw=")</f>
        <v>#VALUE!</v>
      </c>
      <c r="FB4" t="e">
        <f>AND(Data!E24,"AAAAACvmxZ0=")</f>
        <v>#VALUE!</v>
      </c>
      <c r="FC4" t="e">
        <f>AND(Data!F24,"AAAAACvmxZ4=")</f>
        <v>#VALUE!</v>
      </c>
      <c r="FD4" t="e">
        <f>AND(Data!G24,"AAAAACvmxZ8=")</f>
        <v>#VALUE!</v>
      </c>
      <c r="FE4" t="e">
        <f>AND(Data!H24,"AAAAACvmxaA=")</f>
        <v>#VALUE!</v>
      </c>
      <c r="FF4" t="e">
        <f>AND(Data!I24,"AAAAACvmxaE=")</f>
        <v>#VALUE!</v>
      </c>
      <c r="FG4" t="e">
        <f>AND(Data!J24,"AAAAACvmxaI=")</f>
        <v>#VALUE!</v>
      </c>
      <c r="FH4" t="e">
        <f>AND(Data!K24,"AAAAACvmxaM=")</f>
        <v>#VALUE!</v>
      </c>
      <c r="FI4" t="e">
        <f>AND(Data!L24,"AAAAACvmxaQ=")</f>
        <v>#VALUE!</v>
      </c>
      <c r="FJ4" t="e">
        <f>AND(Data!M24,"AAAAACvmxaU=")</f>
        <v>#VALUE!</v>
      </c>
      <c r="FK4" t="e">
        <f>AND(Data!N24,"AAAAACvmxaY=")</f>
        <v>#VALUE!</v>
      </c>
      <c r="FL4" t="e">
        <f>AND(Data!O24,"AAAAACvmxac=")</f>
        <v>#VALUE!</v>
      </c>
      <c r="FM4" t="e">
        <f>AND(Data!P24,"AAAAACvmxag=")</f>
        <v>#VALUE!</v>
      </c>
      <c r="FN4" t="e">
        <f>AND(Data!Q24,"AAAAACvmxak=")</f>
        <v>#VALUE!</v>
      </c>
      <c r="FO4" t="e">
        <f>AND(Data!R24,"AAAAACvmxao=")</f>
        <v>#VALUE!</v>
      </c>
      <c r="FP4" t="e">
        <f>AND(Data!S24,"AAAAACvmxas=")</f>
        <v>#VALUE!</v>
      </c>
      <c r="FQ4" t="e">
        <f>AND(Data!T24,"AAAAACvmxaw=")</f>
        <v>#VALUE!</v>
      </c>
      <c r="FR4" t="e">
        <f>AND(Data!U24,"AAAAACvmxa0=")</f>
        <v>#VALUE!</v>
      </c>
      <c r="FS4" t="e">
        <f>AND(Data!V24,"AAAAACvmxa4=")</f>
        <v>#VALUE!</v>
      </c>
      <c r="FT4" t="e">
        <f>AND(Data!W24,"AAAAACvmxa8=")</f>
        <v>#VALUE!</v>
      </c>
      <c r="FU4" t="e">
        <f>AND(Data!X24,"AAAAACvmxbA=")</f>
        <v>#VALUE!</v>
      </c>
      <c r="FV4" t="e">
        <f>AND(Data!Y24,"AAAAACvmxbE=")</f>
        <v>#VALUE!</v>
      </c>
      <c r="FW4" t="e">
        <f>AND(Data!Z24,"AAAAACvmxbI=")</f>
        <v>#VALUE!</v>
      </c>
      <c r="FX4" t="e">
        <f>AND(Data!AA24,"AAAAACvmxbM=")</f>
        <v>#VALUE!</v>
      </c>
      <c r="FY4" t="e">
        <f>AND(Data!AB24,"AAAAACvmxbQ=")</f>
        <v>#VALUE!</v>
      </c>
      <c r="FZ4" t="e">
        <f>AND(Data!AC24,"AAAAACvmxbU=")</f>
        <v>#VALUE!</v>
      </c>
      <c r="GA4" t="e">
        <f>AND(Data!#REF!,"AAAAACvmxbY=")</f>
        <v>#REF!</v>
      </c>
      <c r="GB4" t="e">
        <f>AND(Data!#REF!,"AAAAACvmxbc=")</f>
        <v>#REF!</v>
      </c>
      <c r="GC4" t="e">
        <f>AND(Data!#REF!,"AAAAACvmxbg=")</f>
        <v>#REF!</v>
      </c>
      <c r="GD4" t="e">
        <f>AND(Data!#REF!,"AAAAACvmxbk=")</f>
        <v>#REF!</v>
      </c>
      <c r="GE4" t="e">
        <f>AND(Data!#REF!,"AAAAACvmxbo=")</f>
        <v>#REF!</v>
      </c>
      <c r="GF4" t="e">
        <f>AND(Data!#REF!,"AAAAACvmxbs=")</f>
        <v>#REF!</v>
      </c>
      <c r="GG4" t="e">
        <f>AND(Data!#REF!,"AAAAACvmxbw=")</f>
        <v>#REF!</v>
      </c>
      <c r="GH4" t="e">
        <f>AND(Data!#REF!,"AAAAACvmxb0=")</f>
        <v>#REF!</v>
      </c>
      <c r="GI4" t="e">
        <f>AND(Data!#REF!,"AAAAACvmxb4=")</f>
        <v>#REF!</v>
      </c>
      <c r="GJ4" t="e">
        <f>AND(Data!#REF!,"AAAAACvmxb8=")</f>
        <v>#REF!</v>
      </c>
      <c r="GK4">
        <f>IF(Data!25:25,"AAAAACvmxcA=",0)</f>
        <v>0</v>
      </c>
      <c r="GL4" t="e">
        <f>AND(Data!A25,"AAAAACvmxcE=")</f>
        <v>#VALUE!</v>
      </c>
      <c r="GM4" t="e">
        <f>AND(Data!B25,"AAAAACvmxcI=")</f>
        <v>#VALUE!</v>
      </c>
      <c r="GN4" t="e">
        <f>AND(Data!C25,"AAAAACvmxcM=")</f>
        <v>#VALUE!</v>
      </c>
      <c r="GO4" t="e">
        <f>AND(Data!D25,"AAAAACvmxcQ=")</f>
        <v>#VALUE!</v>
      </c>
      <c r="GP4" t="e">
        <f>AND(Data!E25,"AAAAACvmxcU=")</f>
        <v>#VALUE!</v>
      </c>
      <c r="GQ4" t="e">
        <f>AND(Data!F25,"AAAAACvmxcY=")</f>
        <v>#VALUE!</v>
      </c>
      <c r="GR4" t="e">
        <f>AND(Data!G25,"AAAAACvmxcc=")</f>
        <v>#VALUE!</v>
      </c>
      <c r="GS4" t="e">
        <f>AND(Data!H25,"AAAAACvmxcg=")</f>
        <v>#VALUE!</v>
      </c>
      <c r="GT4" t="e">
        <f>AND(Data!I25,"AAAAACvmxck=")</f>
        <v>#VALUE!</v>
      </c>
      <c r="GU4" t="e">
        <f>AND(Data!J25,"AAAAACvmxco=")</f>
        <v>#VALUE!</v>
      </c>
      <c r="GV4" t="e">
        <f>AND(Data!K25,"AAAAACvmxcs=")</f>
        <v>#VALUE!</v>
      </c>
      <c r="GW4" t="e">
        <f>AND(Data!L25,"AAAAACvmxcw=")</f>
        <v>#VALUE!</v>
      </c>
      <c r="GX4" t="e">
        <f>AND(Data!M25,"AAAAACvmxc0=")</f>
        <v>#VALUE!</v>
      </c>
      <c r="GY4" t="e">
        <f>AND(Data!N25,"AAAAACvmxc4=")</f>
        <v>#VALUE!</v>
      </c>
      <c r="GZ4" t="e">
        <f>AND(Data!O25,"AAAAACvmxc8=")</f>
        <v>#VALUE!</v>
      </c>
      <c r="HA4" t="e">
        <f>AND(Data!P25,"AAAAACvmxdA=")</f>
        <v>#VALUE!</v>
      </c>
      <c r="HB4" t="e">
        <f>AND(Data!Q25,"AAAAACvmxdE=")</f>
        <v>#VALUE!</v>
      </c>
      <c r="HC4" t="e">
        <f>AND(Data!R25,"AAAAACvmxdI=")</f>
        <v>#VALUE!</v>
      </c>
      <c r="HD4" t="e">
        <f>AND(Data!S25,"AAAAACvmxdM=")</f>
        <v>#VALUE!</v>
      </c>
      <c r="HE4" t="e">
        <f>AND(Data!T25,"AAAAACvmxdQ=")</f>
        <v>#VALUE!</v>
      </c>
      <c r="HF4" t="e">
        <f>AND(Data!U25,"AAAAACvmxdU=")</f>
        <v>#VALUE!</v>
      </c>
      <c r="HG4" t="e">
        <f>AND(Data!V25,"AAAAACvmxdY=")</f>
        <v>#VALUE!</v>
      </c>
      <c r="HH4" t="e">
        <f>AND(Data!W25,"AAAAACvmxdc=")</f>
        <v>#VALUE!</v>
      </c>
      <c r="HI4" t="e">
        <f>AND(Data!X25,"AAAAACvmxdg=")</f>
        <v>#VALUE!</v>
      </c>
      <c r="HJ4" t="e">
        <f>AND(Data!Y25,"AAAAACvmxdk=")</f>
        <v>#VALUE!</v>
      </c>
      <c r="HK4" t="e">
        <f>AND(Data!Z25,"AAAAACvmxdo=")</f>
        <v>#VALUE!</v>
      </c>
      <c r="HL4" t="e">
        <f>AND(Data!AA25,"AAAAACvmxds=")</f>
        <v>#VALUE!</v>
      </c>
      <c r="HM4" t="e">
        <f>AND(Data!AB25,"AAAAACvmxdw=")</f>
        <v>#VALUE!</v>
      </c>
      <c r="HN4" t="e">
        <f>AND(Data!AC25,"AAAAACvmxd0=")</f>
        <v>#VALUE!</v>
      </c>
      <c r="HO4" t="e">
        <f>AND(Data!#REF!,"AAAAACvmxd4=")</f>
        <v>#REF!</v>
      </c>
      <c r="HP4" t="e">
        <f>AND(Data!#REF!,"AAAAACvmxd8=")</f>
        <v>#REF!</v>
      </c>
      <c r="HQ4" t="e">
        <f>AND(Data!#REF!,"AAAAACvmxeA=")</f>
        <v>#REF!</v>
      </c>
      <c r="HR4" t="e">
        <f>AND(Data!#REF!,"AAAAACvmxeE=")</f>
        <v>#REF!</v>
      </c>
      <c r="HS4" t="e">
        <f>AND(Data!#REF!,"AAAAACvmxeI=")</f>
        <v>#REF!</v>
      </c>
      <c r="HT4" t="e">
        <f>AND(Data!#REF!,"AAAAACvmxeM=")</f>
        <v>#REF!</v>
      </c>
      <c r="HU4" t="e">
        <f>AND(Data!#REF!,"AAAAACvmxeQ=")</f>
        <v>#REF!</v>
      </c>
      <c r="HV4" t="e">
        <f>AND(Data!#REF!,"AAAAACvmxeU=")</f>
        <v>#REF!</v>
      </c>
      <c r="HW4" t="e">
        <f>AND(Data!#REF!,"AAAAACvmxeY=")</f>
        <v>#REF!</v>
      </c>
      <c r="HX4" t="e">
        <f>AND(Data!#REF!,"AAAAACvmxec=")</f>
        <v>#REF!</v>
      </c>
      <c r="HY4">
        <f>IF(Data!26:26,"AAAAACvmxeg=",0)</f>
        <v>0</v>
      </c>
      <c r="HZ4" t="e">
        <f>AND(Data!A26,"AAAAACvmxek=")</f>
        <v>#VALUE!</v>
      </c>
      <c r="IA4" t="e">
        <f>AND(Data!B26,"AAAAACvmxeo=")</f>
        <v>#VALUE!</v>
      </c>
      <c r="IB4" t="e">
        <f>AND(Data!C26,"AAAAACvmxes=")</f>
        <v>#VALUE!</v>
      </c>
      <c r="IC4" t="e">
        <f>AND(Data!D26,"AAAAACvmxew=")</f>
        <v>#VALUE!</v>
      </c>
      <c r="ID4" t="e">
        <f>AND(Data!E26,"AAAAACvmxe0=")</f>
        <v>#VALUE!</v>
      </c>
      <c r="IE4" t="e">
        <f>AND(Data!F26,"AAAAACvmxe4=")</f>
        <v>#VALUE!</v>
      </c>
      <c r="IF4" t="e">
        <f>AND(Data!G26,"AAAAACvmxe8=")</f>
        <v>#VALUE!</v>
      </c>
      <c r="IG4" t="e">
        <f>AND(Data!H26,"AAAAACvmxfA=")</f>
        <v>#VALUE!</v>
      </c>
      <c r="IH4" t="e">
        <f>AND(Data!I26,"AAAAACvmxfE=")</f>
        <v>#VALUE!</v>
      </c>
      <c r="II4" t="e">
        <f>AND(Data!J26,"AAAAACvmxfI=")</f>
        <v>#VALUE!</v>
      </c>
      <c r="IJ4" t="e">
        <f>AND(Data!K26,"AAAAACvmxfM=")</f>
        <v>#VALUE!</v>
      </c>
      <c r="IK4" t="e">
        <f>AND(Data!L26,"AAAAACvmxfQ=")</f>
        <v>#VALUE!</v>
      </c>
      <c r="IL4" t="e">
        <f>AND(Data!M26,"AAAAACvmxfU=")</f>
        <v>#VALUE!</v>
      </c>
      <c r="IM4" t="e">
        <f>AND(Data!N26,"AAAAACvmxfY=")</f>
        <v>#VALUE!</v>
      </c>
      <c r="IN4" t="e">
        <f>AND(Data!O26,"AAAAACvmxfc=")</f>
        <v>#VALUE!</v>
      </c>
      <c r="IO4" t="e">
        <f>AND(Data!P26,"AAAAACvmxfg=")</f>
        <v>#VALUE!</v>
      </c>
      <c r="IP4" t="e">
        <f>AND(Data!Q26,"AAAAACvmxfk=")</f>
        <v>#VALUE!</v>
      </c>
      <c r="IQ4" t="e">
        <f>AND(Data!R26,"AAAAACvmxfo=")</f>
        <v>#VALUE!</v>
      </c>
      <c r="IR4" t="e">
        <f>AND(Data!S26,"AAAAACvmxfs=")</f>
        <v>#VALUE!</v>
      </c>
      <c r="IS4" t="e">
        <f>AND(Data!T26,"AAAAACvmxfw=")</f>
        <v>#VALUE!</v>
      </c>
      <c r="IT4" t="e">
        <f>AND(Data!U26,"AAAAACvmxf0=")</f>
        <v>#VALUE!</v>
      </c>
      <c r="IU4" t="e">
        <f>AND(Data!V26,"AAAAACvmxf4=")</f>
        <v>#VALUE!</v>
      </c>
      <c r="IV4" t="e">
        <f>AND(Data!W26,"AAAAACvmxf8=")</f>
        <v>#VALUE!</v>
      </c>
    </row>
    <row r="5" spans="1:256" ht="12.75">
      <c r="A5" t="e">
        <f>AND(Data!X26,"AAAAAH//9wA=")</f>
        <v>#VALUE!</v>
      </c>
      <c r="B5" t="e">
        <f>AND(Data!Y26,"AAAAAH//9wE=")</f>
        <v>#VALUE!</v>
      </c>
      <c r="C5" t="e">
        <f>AND(Data!Z26,"AAAAAH//9wI=")</f>
        <v>#VALUE!</v>
      </c>
      <c r="D5" t="e">
        <f>AND(Data!AA26,"AAAAAH//9wM=")</f>
        <v>#VALUE!</v>
      </c>
      <c r="E5" t="e">
        <f>AND(Data!AB26,"AAAAAH//9wQ=")</f>
        <v>#VALUE!</v>
      </c>
      <c r="F5" t="e">
        <f>AND(Data!AC26,"AAAAAH//9wU=")</f>
        <v>#VALUE!</v>
      </c>
      <c r="G5" t="e">
        <f>AND(Data!#REF!,"AAAAAH//9wY=")</f>
        <v>#REF!</v>
      </c>
      <c r="H5" t="e">
        <f>AND(Data!#REF!,"AAAAAH//9wc=")</f>
        <v>#REF!</v>
      </c>
      <c r="I5" t="e">
        <f>AND(Data!#REF!,"AAAAAH//9wg=")</f>
        <v>#REF!</v>
      </c>
      <c r="J5" t="e">
        <f>AND(Data!#REF!,"AAAAAH//9wk=")</f>
        <v>#REF!</v>
      </c>
      <c r="K5" t="e">
        <f>AND(Data!#REF!,"AAAAAH//9wo=")</f>
        <v>#REF!</v>
      </c>
      <c r="L5" t="e">
        <f>AND(Data!#REF!,"AAAAAH//9ws=")</f>
        <v>#REF!</v>
      </c>
      <c r="M5" t="e">
        <f>AND(Data!#REF!,"AAAAAH//9ww=")</f>
        <v>#REF!</v>
      </c>
      <c r="N5" t="e">
        <f>AND(Data!#REF!,"AAAAAH//9w0=")</f>
        <v>#REF!</v>
      </c>
      <c r="O5" t="e">
        <f>AND(Data!#REF!,"AAAAAH//9w4=")</f>
        <v>#REF!</v>
      </c>
      <c r="P5" t="e">
        <f>AND(Data!#REF!,"AAAAAH//9w8=")</f>
        <v>#REF!</v>
      </c>
      <c r="Q5" t="str">
        <f>IF(Data!27:27,"AAAAAH//9xA=",0)</f>
        <v>AAAAAH//9xA=</v>
      </c>
      <c r="R5" t="e">
        <f>AND(Data!A27,"AAAAAH//9xE=")</f>
        <v>#VALUE!</v>
      </c>
      <c r="S5" t="e">
        <f>AND(Data!B27,"AAAAAH//9xI=")</f>
        <v>#VALUE!</v>
      </c>
      <c r="T5" t="e">
        <f>AND(Data!C27,"AAAAAH//9xM=")</f>
        <v>#VALUE!</v>
      </c>
      <c r="U5" t="e">
        <f>AND(Data!D27,"AAAAAH//9xQ=")</f>
        <v>#VALUE!</v>
      </c>
      <c r="V5" t="e">
        <f>AND(Data!E27,"AAAAAH//9xU=")</f>
        <v>#VALUE!</v>
      </c>
      <c r="W5" t="e">
        <f>AND(Data!F27,"AAAAAH//9xY=")</f>
        <v>#VALUE!</v>
      </c>
      <c r="X5" t="e">
        <f>AND(Data!G27,"AAAAAH//9xc=")</f>
        <v>#VALUE!</v>
      </c>
      <c r="Y5" t="e">
        <f>AND(Data!H27,"AAAAAH//9xg=")</f>
        <v>#VALUE!</v>
      </c>
      <c r="Z5" t="e">
        <f>AND(Data!I27,"AAAAAH//9xk=")</f>
        <v>#VALUE!</v>
      </c>
      <c r="AA5" t="e">
        <f>AND(Data!J27,"AAAAAH//9xo=")</f>
        <v>#VALUE!</v>
      </c>
      <c r="AB5" t="e">
        <f>AND(Data!K27,"AAAAAH//9xs=")</f>
        <v>#VALUE!</v>
      </c>
      <c r="AC5" t="e">
        <f>AND(Data!L27,"AAAAAH//9xw=")</f>
        <v>#VALUE!</v>
      </c>
      <c r="AD5" t="e">
        <f>AND(Data!M27,"AAAAAH//9x0=")</f>
        <v>#VALUE!</v>
      </c>
      <c r="AE5" t="e">
        <f>AND(Data!N27,"AAAAAH//9x4=")</f>
        <v>#VALUE!</v>
      </c>
      <c r="AF5" t="e">
        <f>AND(Data!O27,"AAAAAH//9x8=")</f>
        <v>#VALUE!</v>
      </c>
      <c r="AG5" t="e">
        <f>AND(Data!P27,"AAAAAH//9yA=")</f>
        <v>#VALUE!</v>
      </c>
      <c r="AH5" t="e">
        <f>AND(Data!Q27,"AAAAAH//9yE=")</f>
        <v>#VALUE!</v>
      </c>
      <c r="AI5" t="e">
        <f>AND(Data!R27,"AAAAAH//9yI=")</f>
        <v>#VALUE!</v>
      </c>
      <c r="AJ5" t="e">
        <f>AND(Data!S27,"AAAAAH//9yM=")</f>
        <v>#VALUE!</v>
      </c>
      <c r="AK5" t="e">
        <f>AND(Data!T27,"AAAAAH//9yQ=")</f>
        <v>#VALUE!</v>
      </c>
      <c r="AL5" t="e">
        <f>AND(Data!U27,"AAAAAH//9yU=")</f>
        <v>#VALUE!</v>
      </c>
      <c r="AM5" t="e">
        <f>AND(Data!V27,"AAAAAH//9yY=")</f>
        <v>#VALUE!</v>
      </c>
      <c r="AN5" t="e">
        <f>AND(Data!W27,"AAAAAH//9yc=")</f>
        <v>#VALUE!</v>
      </c>
      <c r="AO5" t="e">
        <f>AND(Data!X27,"AAAAAH//9yg=")</f>
        <v>#VALUE!</v>
      </c>
      <c r="AP5" t="e">
        <f>AND(Data!Y27,"AAAAAH//9yk=")</f>
        <v>#VALUE!</v>
      </c>
      <c r="AQ5" t="e">
        <f>AND(Data!Z27,"AAAAAH//9yo=")</f>
        <v>#VALUE!</v>
      </c>
      <c r="AR5" t="e">
        <f>AND(Data!AA27,"AAAAAH//9ys=")</f>
        <v>#VALUE!</v>
      </c>
      <c r="AS5" t="e">
        <f>AND(Data!AB27,"AAAAAH//9yw=")</f>
        <v>#VALUE!</v>
      </c>
      <c r="AT5" t="e">
        <f>AND(Data!AC27,"AAAAAH//9y0=")</f>
        <v>#VALUE!</v>
      </c>
      <c r="AU5" t="e">
        <f>AND(Data!#REF!,"AAAAAH//9y4=")</f>
        <v>#REF!</v>
      </c>
      <c r="AV5" t="e">
        <f>AND(Data!#REF!,"AAAAAH//9y8=")</f>
        <v>#REF!</v>
      </c>
      <c r="AW5" t="e">
        <f>AND(Data!#REF!,"AAAAAH//9zA=")</f>
        <v>#REF!</v>
      </c>
      <c r="AX5" t="e">
        <f>AND(Data!#REF!,"AAAAAH//9zE=")</f>
        <v>#REF!</v>
      </c>
      <c r="AY5" t="e">
        <f>AND(Data!#REF!,"AAAAAH//9zI=")</f>
        <v>#REF!</v>
      </c>
      <c r="AZ5" t="e">
        <f>AND(Data!#REF!,"AAAAAH//9zM=")</f>
        <v>#REF!</v>
      </c>
      <c r="BA5" t="e">
        <f>AND(Data!#REF!,"AAAAAH//9zQ=")</f>
        <v>#REF!</v>
      </c>
      <c r="BB5" t="e">
        <f>AND(Data!#REF!,"AAAAAH//9zU=")</f>
        <v>#REF!</v>
      </c>
      <c r="BC5" t="e">
        <f>AND(Data!#REF!,"AAAAAH//9zY=")</f>
        <v>#REF!</v>
      </c>
      <c r="BD5" t="e">
        <f>AND(Data!#REF!,"AAAAAH//9zc=")</f>
        <v>#REF!</v>
      </c>
      <c r="BE5">
        <f>IF(Data!28:28,"AAAAAH//9zg=",0)</f>
        <v>0</v>
      </c>
      <c r="BF5" t="e">
        <f>AND(Data!A28,"AAAAAH//9zk=")</f>
        <v>#VALUE!</v>
      </c>
      <c r="BG5" t="e">
        <f>AND(Data!B28,"AAAAAH//9zo=")</f>
        <v>#VALUE!</v>
      </c>
      <c r="BH5" t="e">
        <f>AND(Data!C28,"AAAAAH//9zs=")</f>
        <v>#VALUE!</v>
      </c>
      <c r="BI5" t="e">
        <f>AND(Data!D28,"AAAAAH//9zw=")</f>
        <v>#VALUE!</v>
      </c>
      <c r="BJ5" t="e">
        <f>AND(Data!E28,"AAAAAH//9z0=")</f>
        <v>#VALUE!</v>
      </c>
      <c r="BK5" t="e">
        <f>AND(Data!F28,"AAAAAH//9z4=")</f>
        <v>#VALUE!</v>
      </c>
      <c r="BL5" t="e">
        <f>AND(Data!G28,"AAAAAH//9z8=")</f>
        <v>#VALUE!</v>
      </c>
      <c r="BM5" t="e">
        <f>AND(Data!H28,"AAAAAH//90A=")</f>
        <v>#VALUE!</v>
      </c>
      <c r="BN5" t="e">
        <f>AND(Data!I28,"AAAAAH//90E=")</f>
        <v>#VALUE!</v>
      </c>
      <c r="BO5" t="e">
        <f>AND(Data!J28,"AAAAAH//90I=")</f>
        <v>#VALUE!</v>
      </c>
      <c r="BP5" t="e">
        <f>AND(Data!K28,"AAAAAH//90M=")</f>
        <v>#VALUE!</v>
      </c>
      <c r="BQ5" t="e">
        <f>AND(Data!L28,"AAAAAH//90Q=")</f>
        <v>#VALUE!</v>
      </c>
      <c r="BR5" t="e">
        <f>AND(Data!M28,"AAAAAH//90U=")</f>
        <v>#VALUE!</v>
      </c>
      <c r="BS5" t="e">
        <f>AND(Data!N28,"AAAAAH//90Y=")</f>
        <v>#VALUE!</v>
      </c>
      <c r="BT5" t="e">
        <f>AND(Data!O28,"AAAAAH//90c=")</f>
        <v>#VALUE!</v>
      </c>
      <c r="BU5" t="e">
        <f>AND(Data!P28,"AAAAAH//90g=")</f>
        <v>#VALUE!</v>
      </c>
      <c r="BV5" t="e">
        <f>AND(Data!Q28,"AAAAAH//90k=")</f>
        <v>#VALUE!</v>
      </c>
      <c r="BW5" t="e">
        <f>AND(Data!R28,"AAAAAH//90o=")</f>
        <v>#VALUE!</v>
      </c>
      <c r="BX5" t="e">
        <f>AND(Data!S28,"AAAAAH//90s=")</f>
        <v>#VALUE!</v>
      </c>
      <c r="BY5" t="e">
        <f>AND(Data!T28,"AAAAAH//90w=")</f>
        <v>#VALUE!</v>
      </c>
      <c r="BZ5" t="e">
        <f>AND(Data!U28,"AAAAAH//900=")</f>
        <v>#VALUE!</v>
      </c>
      <c r="CA5" t="e">
        <f>AND(Data!V28,"AAAAAH//904=")</f>
        <v>#VALUE!</v>
      </c>
      <c r="CB5" t="e">
        <f>AND(Data!W28,"AAAAAH//908=")</f>
        <v>#VALUE!</v>
      </c>
      <c r="CC5" t="e">
        <f>AND(Data!X28,"AAAAAH//91A=")</f>
        <v>#VALUE!</v>
      </c>
      <c r="CD5" t="e">
        <f>AND(Data!Y28,"AAAAAH//91E=")</f>
        <v>#VALUE!</v>
      </c>
      <c r="CE5" t="e">
        <f>AND(Data!Z28,"AAAAAH//91I=")</f>
        <v>#VALUE!</v>
      </c>
      <c r="CF5" t="e">
        <f>AND(Data!AA28,"AAAAAH//91M=")</f>
        <v>#VALUE!</v>
      </c>
      <c r="CG5" t="e">
        <f>AND(Data!AB28,"AAAAAH//91Q=")</f>
        <v>#VALUE!</v>
      </c>
      <c r="CH5" t="e">
        <f>AND(Data!AC28,"AAAAAH//91U=")</f>
        <v>#VALUE!</v>
      </c>
      <c r="CI5" t="e">
        <f>AND(Data!#REF!,"AAAAAH//91Y=")</f>
        <v>#REF!</v>
      </c>
      <c r="CJ5" t="e">
        <f>AND(Data!#REF!,"AAAAAH//91c=")</f>
        <v>#REF!</v>
      </c>
      <c r="CK5" t="e">
        <f>AND(Data!#REF!,"AAAAAH//91g=")</f>
        <v>#REF!</v>
      </c>
      <c r="CL5" t="e">
        <f>AND(Data!#REF!,"AAAAAH//91k=")</f>
        <v>#REF!</v>
      </c>
      <c r="CM5" t="e">
        <f>AND(Data!#REF!,"AAAAAH//91o=")</f>
        <v>#REF!</v>
      </c>
      <c r="CN5" t="e">
        <f>AND(Data!#REF!,"AAAAAH//91s=")</f>
        <v>#REF!</v>
      </c>
      <c r="CO5" t="e">
        <f>AND(Data!#REF!,"AAAAAH//91w=")</f>
        <v>#REF!</v>
      </c>
      <c r="CP5" t="e">
        <f>AND(Data!#REF!,"AAAAAH//910=")</f>
        <v>#REF!</v>
      </c>
      <c r="CQ5" t="e">
        <f>AND(Data!#REF!,"AAAAAH//914=")</f>
        <v>#REF!</v>
      </c>
      <c r="CR5" t="e">
        <f>AND(Data!#REF!,"AAAAAH//918=")</f>
        <v>#REF!</v>
      </c>
      <c r="CS5">
        <f>IF(Data!29:29,"AAAAAH//92A=",0)</f>
        <v>0</v>
      </c>
      <c r="CT5" t="e">
        <f>AND(Data!A29,"AAAAAH//92E=")</f>
        <v>#VALUE!</v>
      </c>
      <c r="CU5" t="e">
        <f>AND(Data!B29,"AAAAAH//92I=")</f>
        <v>#VALUE!</v>
      </c>
      <c r="CV5" t="e">
        <f>AND(Data!C29,"AAAAAH//92M=")</f>
        <v>#VALUE!</v>
      </c>
      <c r="CW5" t="e">
        <f>AND(Data!D29,"AAAAAH//92Q=")</f>
        <v>#VALUE!</v>
      </c>
      <c r="CX5" t="e">
        <f>AND(Data!E29,"AAAAAH//92U=")</f>
        <v>#VALUE!</v>
      </c>
      <c r="CY5" t="e">
        <f>AND(Data!F29,"AAAAAH//92Y=")</f>
        <v>#VALUE!</v>
      </c>
      <c r="CZ5" t="e">
        <f>AND(Data!G29,"AAAAAH//92c=")</f>
        <v>#VALUE!</v>
      </c>
      <c r="DA5" t="e">
        <f>AND(Data!H29,"AAAAAH//92g=")</f>
        <v>#VALUE!</v>
      </c>
      <c r="DB5" t="e">
        <f>AND(Data!I29,"AAAAAH//92k=")</f>
        <v>#VALUE!</v>
      </c>
      <c r="DC5" t="e">
        <f>AND(Data!J29,"AAAAAH//92o=")</f>
        <v>#VALUE!</v>
      </c>
      <c r="DD5" t="e">
        <f>AND(Data!K29,"AAAAAH//92s=")</f>
        <v>#VALUE!</v>
      </c>
      <c r="DE5" t="e">
        <f>AND(Data!L29,"AAAAAH//92w=")</f>
        <v>#VALUE!</v>
      </c>
      <c r="DF5" t="e">
        <f>AND(Data!M29,"AAAAAH//920=")</f>
        <v>#VALUE!</v>
      </c>
      <c r="DG5" t="e">
        <f>AND(Data!N29,"AAAAAH//924=")</f>
        <v>#VALUE!</v>
      </c>
      <c r="DH5" t="e">
        <f>AND(Data!O29,"AAAAAH//928=")</f>
        <v>#VALUE!</v>
      </c>
      <c r="DI5" t="e">
        <f>AND(Data!P29,"AAAAAH//93A=")</f>
        <v>#VALUE!</v>
      </c>
      <c r="DJ5" t="e">
        <f>AND(Data!Q29,"AAAAAH//93E=")</f>
        <v>#VALUE!</v>
      </c>
      <c r="DK5" t="e">
        <f>AND(Data!R29,"AAAAAH//93I=")</f>
        <v>#VALUE!</v>
      </c>
      <c r="DL5" t="e">
        <f>AND(Data!S29,"AAAAAH//93M=")</f>
        <v>#VALUE!</v>
      </c>
      <c r="DM5" t="e">
        <f>AND(Data!T29,"AAAAAH//93Q=")</f>
        <v>#VALUE!</v>
      </c>
      <c r="DN5" t="e">
        <f>AND(Data!U29,"AAAAAH//93U=")</f>
        <v>#VALUE!</v>
      </c>
      <c r="DO5" t="e">
        <f>AND(Data!V29,"AAAAAH//93Y=")</f>
        <v>#VALUE!</v>
      </c>
      <c r="DP5" t="e">
        <f>AND(Data!W29,"AAAAAH//93c=")</f>
        <v>#VALUE!</v>
      </c>
      <c r="DQ5" t="e">
        <f>AND(Data!X29,"AAAAAH//93g=")</f>
        <v>#VALUE!</v>
      </c>
      <c r="DR5" t="e">
        <f>AND(Data!Y29,"AAAAAH//93k=")</f>
        <v>#VALUE!</v>
      </c>
      <c r="DS5" t="e">
        <f>AND(Data!Z29,"AAAAAH//93o=")</f>
        <v>#VALUE!</v>
      </c>
      <c r="DT5" t="e">
        <f>AND(Data!AA29,"AAAAAH//93s=")</f>
        <v>#VALUE!</v>
      </c>
      <c r="DU5" t="e">
        <f>AND(Data!AB29,"AAAAAH//93w=")</f>
        <v>#VALUE!</v>
      </c>
      <c r="DV5" t="e">
        <f>AND(Data!AC29,"AAAAAH//930=")</f>
        <v>#VALUE!</v>
      </c>
      <c r="DW5" t="e">
        <f>AND(Data!#REF!,"AAAAAH//934=")</f>
        <v>#REF!</v>
      </c>
      <c r="DX5" t="e">
        <f>AND(Data!#REF!,"AAAAAH//938=")</f>
        <v>#REF!</v>
      </c>
      <c r="DY5" t="e">
        <f>AND(Data!#REF!,"AAAAAH//94A=")</f>
        <v>#REF!</v>
      </c>
      <c r="DZ5" t="e">
        <f>AND(Data!#REF!,"AAAAAH//94E=")</f>
        <v>#REF!</v>
      </c>
      <c r="EA5" t="e">
        <f>AND(Data!#REF!,"AAAAAH//94I=")</f>
        <v>#REF!</v>
      </c>
      <c r="EB5" t="e">
        <f>AND(Data!#REF!,"AAAAAH//94M=")</f>
        <v>#REF!</v>
      </c>
      <c r="EC5" t="e">
        <f>AND(Data!#REF!,"AAAAAH//94Q=")</f>
        <v>#REF!</v>
      </c>
      <c r="ED5" t="e">
        <f>AND(Data!#REF!,"AAAAAH//94U=")</f>
        <v>#REF!</v>
      </c>
      <c r="EE5" t="e">
        <f>AND(Data!#REF!,"AAAAAH//94Y=")</f>
        <v>#REF!</v>
      </c>
      <c r="EF5" t="e">
        <f>AND(Data!#REF!,"AAAAAH//94c=")</f>
        <v>#REF!</v>
      </c>
      <c r="EG5">
        <f>IF(Data!30:30,"AAAAAH//94g=",0)</f>
        <v>0</v>
      </c>
      <c r="EH5" t="e">
        <f>AND(Data!A30,"AAAAAH//94k=")</f>
        <v>#VALUE!</v>
      </c>
      <c r="EI5" t="e">
        <f>AND(Data!B30,"AAAAAH//94o=")</f>
        <v>#VALUE!</v>
      </c>
      <c r="EJ5" t="e">
        <f>AND(Data!C30,"AAAAAH//94s=")</f>
        <v>#VALUE!</v>
      </c>
      <c r="EK5" t="e">
        <f>AND(Data!D30,"AAAAAH//94w=")</f>
        <v>#VALUE!</v>
      </c>
      <c r="EL5" t="e">
        <f>AND(Data!E30,"AAAAAH//940=")</f>
        <v>#VALUE!</v>
      </c>
      <c r="EM5" t="e">
        <f>AND(Data!F30,"AAAAAH//944=")</f>
        <v>#VALUE!</v>
      </c>
      <c r="EN5" t="e">
        <f>AND(Data!G30,"AAAAAH//948=")</f>
        <v>#VALUE!</v>
      </c>
      <c r="EO5" t="e">
        <f>AND(Data!H30,"AAAAAH//95A=")</f>
        <v>#VALUE!</v>
      </c>
      <c r="EP5" t="e">
        <f>AND(Data!I30,"AAAAAH//95E=")</f>
        <v>#VALUE!</v>
      </c>
      <c r="EQ5" t="e">
        <f>AND(Data!J30,"AAAAAH//95I=")</f>
        <v>#VALUE!</v>
      </c>
      <c r="ER5" t="e">
        <f>AND(Data!K30,"AAAAAH//95M=")</f>
        <v>#VALUE!</v>
      </c>
      <c r="ES5" t="e">
        <f>AND(Data!L30,"AAAAAH//95Q=")</f>
        <v>#VALUE!</v>
      </c>
      <c r="ET5" t="e">
        <f>AND(Data!M30,"AAAAAH//95U=")</f>
        <v>#VALUE!</v>
      </c>
      <c r="EU5" t="e">
        <f>AND(Data!N30,"AAAAAH//95Y=")</f>
        <v>#VALUE!</v>
      </c>
      <c r="EV5" t="e">
        <f>AND(Data!O30,"AAAAAH//95c=")</f>
        <v>#VALUE!</v>
      </c>
      <c r="EW5" t="e">
        <f>AND(Data!P30,"AAAAAH//95g=")</f>
        <v>#VALUE!</v>
      </c>
      <c r="EX5" t="e">
        <f>AND(Data!Q30,"AAAAAH//95k=")</f>
        <v>#VALUE!</v>
      </c>
      <c r="EY5" t="e">
        <f>AND(Data!R30,"AAAAAH//95o=")</f>
        <v>#VALUE!</v>
      </c>
      <c r="EZ5" t="e">
        <f>AND(Data!S30,"AAAAAH//95s=")</f>
        <v>#VALUE!</v>
      </c>
      <c r="FA5" t="e">
        <f>AND(Data!T30,"AAAAAH//95w=")</f>
        <v>#VALUE!</v>
      </c>
      <c r="FB5" t="e">
        <f>AND(Data!U30,"AAAAAH//950=")</f>
        <v>#VALUE!</v>
      </c>
      <c r="FC5" t="e">
        <f>AND(Data!V30,"AAAAAH//954=")</f>
        <v>#VALUE!</v>
      </c>
      <c r="FD5" t="e">
        <f>AND(Data!W30,"AAAAAH//958=")</f>
        <v>#VALUE!</v>
      </c>
      <c r="FE5" t="e">
        <f>AND(Data!X30,"AAAAAH//96A=")</f>
        <v>#VALUE!</v>
      </c>
      <c r="FF5" t="e">
        <f>AND(Data!Y30,"AAAAAH//96E=")</f>
        <v>#VALUE!</v>
      </c>
      <c r="FG5" t="e">
        <f>AND(Data!Z30,"AAAAAH//96I=")</f>
        <v>#VALUE!</v>
      </c>
      <c r="FH5" t="e">
        <f>AND(Data!AA30,"AAAAAH//96M=")</f>
        <v>#VALUE!</v>
      </c>
      <c r="FI5" t="e">
        <f>AND(Data!AB30,"AAAAAH//96Q=")</f>
        <v>#VALUE!</v>
      </c>
      <c r="FJ5" t="e">
        <f>AND(Data!AC30,"AAAAAH//96U=")</f>
        <v>#VALUE!</v>
      </c>
      <c r="FK5" t="e">
        <f>AND(Data!#REF!,"AAAAAH//96Y=")</f>
        <v>#REF!</v>
      </c>
      <c r="FL5" t="e">
        <f>AND(Data!#REF!,"AAAAAH//96c=")</f>
        <v>#REF!</v>
      </c>
      <c r="FM5" t="e">
        <f>AND(Data!#REF!,"AAAAAH//96g=")</f>
        <v>#REF!</v>
      </c>
      <c r="FN5" t="e">
        <f>AND(Data!#REF!,"AAAAAH//96k=")</f>
        <v>#REF!</v>
      </c>
      <c r="FO5" t="e">
        <f>AND(Data!#REF!,"AAAAAH//96o=")</f>
        <v>#REF!</v>
      </c>
      <c r="FP5" t="e">
        <f>AND(Data!#REF!,"AAAAAH//96s=")</f>
        <v>#REF!</v>
      </c>
      <c r="FQ5" t="e">
        <f>AND(Data!#REF!,"AAAAAH//96w=")</f>
        <v>#REF!</v>
      </c>
      <c r="FR5" t="e">
        <f>AND(Data!#REF!,"AAAAAH//960=")</f>
        <v>#REF!</v>
      </c>
      <c r="FS5" t="e">
        <f>AND(Data!#REF!,"AAAAAH//964=")</f>
        <v>#REF!</v>
      </c>
      <c r="FT5" t="e">
        <f>AND(Data!#REF!,"AAAAAH//968=")</f>
        <v>#REF!</v>
      </c>
      <c r="FU5">
        <f>IF(Data!31:31,"AAAAAH//97A=",0)</f>
        <v>0</v>
      </c>
      <c r="FV5" t="e">
        <f>AND(Data!A31,"AAAAAH//97E=")</f>
        <v>#VALUE!</v>
      </c>
      <c r="FW5" t="e">
        <f>AND(Data!B31,"AAAAAH//97I=")</f>
        <v>#VALUE!</v>
      </c>
      <c r="FX5" t="e">
        <f>AND(Data!C31,"AAAAAH//97M=")</f>
        <v>#VALUE!</v>
      </c>
      <c r="FY5" t="e">
        <f>AND(Data!D31,"AAAAAH//97Q=")</f>
        <v>#VALUE!</v>
      </c>
      <c r="FZ5" t="e">
        <f>AND(Data!E31,"AAAAAH//97U=")</f>
        <v>#VALUE!</v>
      </c>
      <c r="GA5" t="e">
        <f>AND(Data!F31,"AAAAAH//97Y=")</f>
        <v>#VALUE!</v>
      </c>
      <c r="GB5" t="e">
        <f>AND(Data!G31,"AAAAAH//97c=")</f>
        <v>#VALUE!</v>
      </c>
      <c r="GC5" t="e">
        <f>AND(Data!H31,"AAAAAH//97g=")</f>
        <v>#VALUE!</v>
      </c>
      <c r="GD5" t="e">
        <f>AND(Data!I31,"AAAAAH//97k=")</f>
        <v>#VALUE!</v>
      </c>
      <c r="GE5" t="e">
        <f>AND(Data!J31,"AAAAAH//97o=")</f>
        <v>#VALUE!</v>
      </c>
      <c r="GF5" t="e">
        <f>AND(Data!K31,"AAAAAH//97s=")</f>
        <v>#VALUE!</v>
      </c>
      <c r="GG5" t="e">
        <f>AND(Data!L31,"AAAAAH//97w=")</f>
        <v>#VALUE!</v>
      </c>
      <c r="GH5" t="e">
        <f>AND(Data!M31,"AAAAAH//970=")</f>
        <v>#VALUE!</v>
      </c>
      <c r="GI5" t="e">
        <f>AND(Data!N31,"AAAAAH//974=")</f>
        <v>#VALUE!</v>
      </c>
      <c r="GJ5" t="e">
        <f>AND(Data!O31,"AAAAAH//978=")</f>
        <v>#VALUE!</v>
      </c>
      <c r="GK5" t="e">
        <f>AND(Data!P31,"AAAAAH//98A=")</f>
        <v>#VALUE!</v>
      </c>
      <c r="GL5" t="e">
        <f>AND(Data!Q31,"AAAAAH//98E=")</f>
        <v>#VALUE!</v>
      </c>
      <c r="GM5" t="e">
        <f>AND(Data!R31,"AAAAAH//98I=")</f>
        <v>#VALUE!</v>
      </c>
      <c r="GN5" t="e">
        <f>AND(Data!S31,"AAAAAH//98M=")</f>
        <v>#VALUE!</v>
      </c>
      <c r="GO5" t="e">
        <f>AND(Data!T31,"AAAAAH//98Q=")</f>
        <v>#VALUE!</v>
      </c>
      <c r="GP5" t="e">
        <f>AND(Data!U31,"AAAAAH//98U=")</f>
        <v>#VALUE!</v>
      </c>
      <c r="GQ5" t="e">
        <f>AND(Data!V31,"AAAAAH//98Y=")</f>
        <v>#VALUE!</v>
      </c>
      <c r="GR5" t="e">
        <f>AND(Data!W31,"AAAAAH//98c=")</f>
        <v>#VALUE!</v>
      </c>
      <c r="GS5" t="e">
        <f>AND(Data!X31,"AAAAAH//98g=")</f>
        <v>#VALUE!</v>
      </c>
      <c r="GT5" t="e">
        <f>AND(Data!Y31,"AAAAAH//98k=")</f>
        <v>#VALUE!</v>
      </c>
      <c r="GU5" t="e">
        <f>AND(Data!Z31,"AAAAAH//98o=")</f>
        <v>#VALUE!</v>
      </c>
      <c r="GV5" t="e">
        <f>AND(Data!AA31,"AAAAAH//98s=")</f>
        <v>#VALUE!</v>
      </c>
      <c r="GW5" t="e">
        <f>AND(Data!AB31,"AAAAAH//98w=")</f>
        <v>#VALUE!</v>
      </c>
      <c r="GX5" t="e">
        <f>AND(Data!AC31,"AAAAAH//980=")</f>
        <v>#VALUE!</v>
      </c>
      <c r="GY5" t="e">
        <f>AND(Data!#REF!,"AAAAAH//984=")</f>
        <v>#REF!</v>
      </c>
      <c r="GZ5" t="e">
        <f>AND(Data!#REF!,"AAAAAH//988=")</f>
        <v>#REF!</v>
      </c>
      <c r="HA5" t="e">
        <f>AND(Data!#REF!,"AAAAAH//99A=")</f>
        <v>#REF!</v>
      </c>
      <c r="HB5" t="e">
        <f>AND(Data!#REF!,"AAAAAH//99E=")</f>
        <v>#REF!</v>
      </c>
      <c r="HC5" t="e">
        <f>AND(Data!#REF!,"AAAAAH//99I=")</f>
        <v>#REF!</v>
      </c>
      <c r="HD5" t="e">
        <f>AND(Data!#REF!,"AAAAAH//99M=")</f>
        <v>#REF!</v>
      </c>
      <c r="HE5" t="e">
        <f>AND(Data!#REF!,"AAAAAH//99Q=")</f>
        <v>#REF!</v>
      </c>
      <c r="HF5" t="e">
        <f>AND(Data!#REF!,"AAAAAH//99U=")</f>
        <v>#REF!</v>
      </c>
      <c r="HG5" t="e">
        <f>AND(Data!#REF!,"AAAAAH//99Y=")</f>
        <v>#REF!</v>
      </c>
      <c r="HH5" t="e">
        <f>AND(Data!#REF!,"AAAAAH//99c=")</f>
        <v>#REF!</v>
      </c>
      <c r="HI5">
        <f>IF(Data!32:32,"AAAAAH//99g=",0)</f>
        <v>0</v>
      </c>
      <c r="HJ5" t="e">
        <f>AND(Data!A32,"AAAAAH//99k=")</f>
        <v>#VALUE!</v>
      </c>
      <c r="HK5" t="e">
        <f>AND(Data!B32,"AAAAAH//99o=")</f>
        <v>#VALUE!</v>
      </c>
      <c r="HL5" t="e">
        <f>AND(Data!C32,"AAAAAH//99s=")</f>
        <v>#VALUE!</v>
      </c>
      <c r="HM5" t="e">
        <f>AND(Data!D32,"AAAAAH//99w=")</f>
        <v>#VALUE!</v>
      </c>
      <c r="HN5" t="e">
        <f>AND(Data!E32,"AAAAAH//990=")</f>
        <v>#VALUE!</v>
      </c>
      <c r="HO5" t="e">
        <f>AND(Data!F32,"AAAAAH//994=")</f>
        <v>#VALUE!</v>
      </c>
      <c r="HP5" t="e">
        <f>AND(Data!G32,"AAAAAH//998=")</f>
        <v>#VALUE!</v>
      </c>
      <c r="HQ5" t="e">
        <f>AND(Data!H32,"AAAAAH//9+A=")</f>
        <v>#VALUE!</v>
      </c>
      <c r="HR5" t="e">
        <f>AND(Data!I32,"AAAAAH//9+E=")</f>
        <v>#VALUE!</v>
      </c>
      <c r="HS5" t="e">
        <f>AND(Data!J32,"AAAAAH//9+I=")</f>
        <v>#VALUE!</v>
      </c>
      <c r="HT5" t="e">
        <f>AND(Data!K32,"AAAAAH//9+M=")</f>
        <v>#VALUE!</v>
      </c>
      <c r="HU5" t="e">
        <f>AND(Data!L32,"AAAAAH//9+Q=")</f>
        <v>#VALUE!</v>
      </c>
      <c r="HV5" t="e">
        <f>AND(Data!M32,"AAAAAH//9+U=")</f>
        <v>#VALUE!</v>
      </c>
      <c r="HW5" t="e">
        <f>AND(Data!N32,"AAAAAH//9+Y=")</f>
        <v>#VALUE!</v>
      </c>
      <c r="HX5" t="e">
        <f>AND(Data!O32,"AAAAAH//9+c=")</f>
        <v>#VALUE!</v>
      </c>
      <c r="HY5" t="e">
        <f>AND(Data!P32,"AAAAAH//9+g=")</f>
        <v>#VALUE!</v>
      </c>
      <c r="HZ5" t="e">
        <f>AND(Data!Q32,"AAAAAH//9+k=")</f>
        <v>#VALUE!</v>
      </c>
      <c r="IA5" t="e">
        <f>AND(Data!R32,"AAAAAH//9+o=")</f>
        <v>#VALUE!</v>
      </c>
      <c r="IB5" t="e">
        <f>AND(Data!S32,"AAAAAH//9+s=")</f>
        <v>#VALUE!</v>
      </c>
      <c r="IC5" t="e">
        <f>AND(Data!T32,"AAAAAH//9+w=")</f>
        <v>#VALUE!</v>
      </c>
      <c r="ID5" t="e">
        <f>AND(Data!U32,"AAAAAH//9+0=")</f>
        <v>#VALUE!</v>
      </c>
      <c r="IE5" t="e">
        <f>AND(Data!V32,"AAAAAH//9+4=")</f>
        <v>#VALUE!</v>
      </c>
      <c r="IF5" t="e">
        <f>AND(Data!W32,"AAAAAH//9+8=")</f>
        <v>#VALUE!</v>
      </c>
      <c r="IG5" t="e">
        <f>AND(Data!X32,"AAAAAH//9/A=")</f>
        <v>#VALUE!</v>
      </c>
      <c r="IH5" t="e">
        <f>AND(Data!Y32,"AAAAAH//9/E=")</f>
        <v>#VALUE!</v>
      </c>
      <c r="II5" t="e">
        <f>AND(Data!Z32,"AAAAAH//9/I=")</f>
        <v>#VALUE!</v>
      </c>
      <c r="IJ5" t="e">
        <f>AND(Data!AA32,"AAAAAH//9/M=")</f>
        <v>#VALUE!</v>
      </c>
      <c r="IK5" t="e">
        <f>AND(Data!AB32,"AAAAAH//9/Q=")</f>
        <v>#VALUE!</v>
      </c>
      <c r="IL5" t="e">
        <f>AND(Data!AC32,"AAAAAH//9/U=")</f>
        <v>#VALUE!</v>
      </c>
      <c r="IM5" t="e">
        <f>AND(Data!#REF!,"AAAAAH//9/Y=")</f>
        <v>#REF!</v>
      </c>
      <c r="IN5" t="e">
        <f>AND(Data!#REF!,"AAAAAH//9/c=")</f>
        <v>#REF!</v>
      </c>
      <c r="IO5" t="e">
        <f>AND(Data!#REF!,"AAAAAH//9/g=")</f>
        <v>#REF!</v>
      </c>
      <c r="IP5" t="e">
        <f>AND(Data!#REF!,"AAAAAH//9/k=")</f>
        <v>#REF!</v>
      </c>
      <c r="IQ5" t="e">
        <f>AND(Data!#REF!,"AAAAAH//9/o=")</f>
        <v>#REF!</v>
      </c>
      <c r="IR5" t="e">
        <f>AND(Data!#REF!,"AAAAAH//9/s=")</f>
        <v>#REF!</v>
      </c>
      <c r="IS5" t="e">
        <f>AND(Data!#REF!,"AAAAAH//9/w=")</f>
        <v>#REF!</v>
      </c>
      <c r="IT5" t="e">
        <f>AND(Data!#REF!,"AAAAAH//9/0=")</f>
        <v>#REF!</v>
      </c>
      <c r="IU5" t="e">
        <f>AND(Data!#REF!,"AAAAAH//9/4=")</f>
        <v>#REF!</v>
      </c>
      <c r="IV5" t="e">
        <f>AND(Data!#REF!,"AAAAAH//9/8=")</f>
        <v>#REF!</v>
      </c>
    </row>
    <row r="6" spans="1:256" ht="12.75">
      <c r="A6" t="e">
        <f>IF(Data!33:33,"AAAAAF/39QA=",0)</f>
        <v>#VALUE!</v>
      </c>
      <c r="B6" t="e">
        <f>AND(Data!A33,"AAAAAF/39QE=")</f>
        <v>#VALUE!</v>
      </c>
      <c r="C6" t="e">
        <f>AND(Data!B33,"AAAAAF/39QI=")</f>
        <v>#VALUE!</v>
      </c>
      <c r="D6" t="e">
        <f>AND(Data!C33,"AAAAAF/39QM=")</f>
        <v>#VALUE!</v>
      </c>
      <c r="E6" t="e">
        <f>AND(Data!D33,"AAAAAF/39QQ=")</f>
        <v>#VALUE!</v>
      </c>
      <c r="F6" t="e">
        <f>AND(Data!E33,"AAAAAF/39QU=")</f>
        <v>#VALUE!</v>
      </c>
      <c r="G6" t="e">
        <f>AND(Data!F33,"AAAAAF/39QY=")</f>
        <v>#VALUE!</v>
      </c>
      <c r="H6" t="e">
        <f>AND(Data!G33,"AAAAAF/39Qc=")</f>
        <v>#VALUE!</v>
      </c>
      <c r="I6" t="e">
        <f>AND(Data!H33,"AAAAAF/39Qg=")</f>
        <v>#VALUE!</v>
      </c>
      <c r="J6" t="e">
        <f>AND(Data!I33,"AAAAAF/39Qk=")</f>
        <v>#VALUE!</v>
      </c>
      <c r="K6" t="e">
        <f>AND(Data!J33,"AAAAAF/39Qo=")</f>
        <v>#VALUE!</v>
      </c>
      <c r="L6" t="e">
        <f>AND(Data!K33,"AAAAAF/39Qs=")</f>
        <v>#VALUE!</v>
      </c>
      <c r="M6" t="e">
        <f>AND(Data!L33,"AAAAAF/39Qw=")</f>
        <v>#VALUE!</v>
      </c>
      <c r="N6" t="e">
        <f>AND(Data!M33,"AAAAAF/39Q0=")</f>
        <v>#VALUE!</v>
      </c>
      <c r="O6" t="e">
        <f>AND(Data!N33,"AAAAAF/39Q4=")</f>
        <v>#VALUE!</v>
      </c>
      <c r="P6" t="e">
        <f>AND(Data!O33,"AAAAAF/39Q8=")</f>
        <v>#VALUE!</v>
      </c>
      <c r="Q6" t="e">
        <f>AND(Data!P33,"AAAAAF/39RA=")</f>
        <v>#VALUE!</v>
      </c>
      <c r="R6" t="e">
        <f>AND(Data!Q33,"AAAAAF/39RE=")</f>
        <v>#VALUE!</v>
      </c>
      <c r="S6" t="e">
        <f>AND(Data!R33,"AAAAAF/39RI=")</f>
        <v>#VALUE!</v>
      </c>
      <c r="T6" t="e">
        <f>AND(Data!S33,"AAAAAF/39RM=")</f>
        <v>#VALUE!</v>
      </c>
      <c r="U6" t="e">
        <f>AND(Data!T33,"AAAAAF/39RQ=")</f>
        <v>#VALUE!</v>
      </c>
      <c r="V6" t="e">
        <f>AND(Data!U33,"AAAAAF/39RU=")</f>
        <v>#VALUE!</v>
      </c>
      <c r="W6" t="e">
        <f>AND(Data!V33,"AAAAAF/39RY=")</f>
        <v>#VALUE!</v>
      </c>
      <c r="X6" t="e">
        <f>AND(Data!W33,"AAAAAF/39Rc=")</f>
        <v>#VALUE!</v>
      </c>
      <c r="Y6" t="e">
        <f>AND(Data!X33,"AAAAAF/39Rg=")</f>
        <v>#VALUE!</v>
      </c>
      <c r="Z6" t="e">
        <f>AND(Data!Y33,"AAAAAF/39Rk=")</f>
        <v>#VALUE!</v>
      </c>
      <c r="AA6" t="e">
        <f>AND(Data!Z33,"AAAAAF/39Ro=")</f>
        <v>#VALUE!</v>
      </c>
      <c r="AB6" t="e">
        <f>AND(Data!AA33,"AAAAAF/39Rs=")</f>
        <v>#VALUE!</v>
      </c>
      <c r="AC6" t="e">
        <f>AND(Data!AB33,"AAAAAF/39Rw=")</f>
        <v>#VALUE!</v>
      </c>
      <c r="AD6" t="e">
        <f>AND(Data!AC33,"AAAAAF/39R0=")</f>
        <v>#VALUE!</v>
      </c>
      <c r="AE6" t="e">
        <f>AND(Data!#REF!,"AAAAAF/39R4=")</f>
        <v>#REF!</v>
      </c>
      <c r="AF6" t="e">
        <f>AND(Data!#REF!,"AAAAAF/39R8=")</f>
        <v>#REF!</v>
      </c>
      <c r="AG6" t="e">
        <f>AND(Data!#REF!,"AAAAAF/39SA=")</f>
        <v>#REF!</v>
      </c>
      <c r="AH6" t="e">
        <f>AND(Data!#REF!,"AAAAAF/39SE=")</f>
        <v>#REF!</v>
      </c>
      <c r="AI6" t="e">
        <f>AND(Data!#REF!,"AAAAAF/39SI=")</f>
        <v>#REF!</v>
      </c>
      <c r="AJ6" t="e">
        <f>AND(Data!#REF!,"AAAAAF/39SM=")</f>
        <v>#REF!</v>
      </c>
      <c r="AK6" t="e">
        <f>AND(Data!#REF!,"AAAAAF/39SQ=")</f>
        <v>#REF!</v>
      </c>
      <c r="AL6" t="e">
        <f>AND(Data!#REF!,"AAAAAF/39SU=")</f>
        <v>#REF!</v>
      </c>
      <c r="AM6" t="e">
        <f>AND(Data!#REF!,"AAAAAF/39SY=")</f>
        <v>#REF!</v>
      </c>
      <c r="AN6" t="e">
        <f>AND(Data!#REF!,"AAAAAF/39Sc=")</f>
        <v>#REF!</v>
      </c>
      <c r="AO6">
        <f>IF(Data!34:34,"AAAAAF/39Sg=",0)</f>
        <v>0</v>
      </c>
      <c r="AP6" t="e">
        <f>AND(Data!A34,"AAAAAF/39Sk=")</f>
        <v>#VALUE!</v>
      </c>
      <c r="AQ6" t="e">
        <f>AND(Data!B34,"AAAAAF/39So=")</f>
        <v>#VALUE!</v>
      </c>
      <c r="AR6" t="e">
        <f>AND(Data!C34,"AAAAAF/39Ss=")</f>
        <v>#VALUE!</v>
      </c>
      <c r="AS6" t="e">
        <f>AND(Data!D34,"AAAAAF/39Sw=")</f>
        <v>#VALUE!</v>
      </c>
      <c r="AT6" t="e">
        <f>AND(Data!E34,"AAAAAF/39S0=")</f>
        <v>#VALUE!</v>
      </c>
      <c r="AU6" t="e">
        <f>AND(Data!F34,"AAAAAF/39S4=")</f>
        <v>#VALUE!</v>
      </c>
      <c r="AV6" t="e">
        <f>AND(Data!G34,"AAAAAF/39S8=")</f>
        <v>#VALUE!</v>
      </c>
      <c r="AW6" t="e">
        <f>AND(Data!H34,"AAAAAF/39TA=")</f>
        <v>#VALUE!</v>
      </c>
      <c r="AX6" t="e">
        <f>AND(Data!I34,"AAAAAF/39TE=")</f>
        <v>#VALUE!</v>
      </c>
      <c r="AY6" t="e">
        <f>AND(Data!J34,"AAAAAF/39TI=")</f>
        <v>#VALUE!</v>
      </c>
      <c r="AZ6" t="e">
        <f>AND(Data!K34,"AAAAAF/39TM=")</f>
        <v>#VALUE!</v>
      </c>
      <c r="BA6" t="e">
        <f>AND(Data!L34,"AAAAAF/39TQ=")</f>
        <v>#VALUE!</v>
      </c>
      <c r="BB6" t="e">
        <f>AND(Data!M34,"AAAAAF/39TU=")</f>
        <v>#VALUE!</v>
      </c>
      <c r="BC6" t="e">
        <f>AND(Data!N34,"AAAAAF/39TY=")</f>
        <v>#VALUE!</v>
      </c>
      <c r="BD6" t="e">
        <f>AND(Data!O34,"AAAAAF/39Tc=")</f>
        <v>#VALUE!</v>
      </c>
      <c r="BE6" t="e">
        <f>AND(Data!P34,"AAAAAF/39Tg=")</f>
        <v>#VALUE!</v>
      </c>
      <c r="BF6" t="e">
        <f>AND(Data!Q34,"AAAAAF/39Tk=")</f>
        <v>#VALUE!</v>
      </c>
      <c r="BG6" t="e">
        <f>AND(Data!R34,"AAAAAF/39To=")</f>
        <v>#VALUE!</v>
      </c>
      <c r="BH6" t="e">
        <f>AND(Data!S34,"AAAAAF/39Ts=")</f>
        <v>#VALUE!</v>
      </c>
      <c r="BI6" t="e">
        <f>AND(Data!T34,"AAAAAF/39Tw=")</f>
        <v>#VALUE!</v>
      </c>
      <c r="BJ6" t="e">
        <f>AND(Data!U34,"AAAAAF/39T0=")</f>
        <v>#VALUE!</v>
      </c>
      <c r="BK6" t="e">
        <f>AND(Data!V34,"AAAAAF/39T4=")</f>
        <v>#VALUE!</v>
      </c>
      <c r="BL6" t="e">
        <f>AND(Data!W34,"AAAAAF/39T8=")</f>
        <v>#VALUE!</v>
      </c>
      <c r="BM6" t="e">
        <f>AND(Data!X34,"AAAAAF/39UA=")</f>
        <v>#VALUE!</v>
      </c>
      <c r="BN6" t="e">
        <f>AND(Data!Y34,"AAAAAF/39UE=")</f>
        <v>#VALUE!</v>
      </c>
      <c r="BO6" t="e">
        <f>AND(Data!Z34,"AAAAAF/39UI=")</f>
        <v>#VALUE!</v>
      </c>
      <c r="BP6" t="e">
        <f>AND(Data!AA34,"AAAAAF/39UM=")</f>
        <v>#VALUE!</v>
      </c>
      <c r="BQ6" t="e">
        <f>AND(Data!AB34,"AAAAAF/39UQ=")</f>
        <v>#VALUE!</v>
      </c>
      <c r="BR6" t="e">
        <f>AND(Data!AC34,"AAAAAF/39UU=")</f>
        <v>#VALUE!</v>
      </c>
      <c r="BS6" t="e">
        <f>AND(Data!#REF!,"AAAAAF/39UY=")</f>
        <v>#REF!</v>
      </c>
      <c r="BT6" t="e">
        <f>AND(Data!#REF!,"AAAAAF/39Uc=")</f>
        <v>#REF!</v>
      </c>
      <c r="BU6" t="e">
        <f>AND(Data!#REF!,"AAAAAF/39Ug=")</f>
        <v>#REF!</v>
      </c>
      <c r="BV6" t="e">
        <f>AND(Data!#REF!,"AAAAAF/39Uk=")</f>
        <v>#REF!</v>
      </c>
      <c r="BW6" t="e">
        <f>AND(Data!#REF!,"AAAAAF/39Uo=")</f>
        <v>#REF!</v>
      </c>
      <c r="BX6" t="e">
        <f>AND(Data!#REF!,"AAAAAF/39Us=")</f>
        <v>#REF!</v>
      </c>
      <c r="BY6" t="e">
        <f>AND(Data!#REF!,"AAAAAF/39Uw=")</f>
        <v>#REF!</v>
      </c>
      <c r="BZ6" t="e">
        <f>AND(Data!#REF!,"AAAAAF/39U0=")</f>
        <v>#REF!</v>
      </c>
      <c r="CA6" t="e">
        <f>AND(Data!#REF!,"AAAAAF/39U4=")</f>
        <v>#REF!</v>
      </c>
      <c r="CB6" t="e">
        <f>AND(Data!#REF!,"AAAAAF/39U8=")</f>
        <v>#REF!</v>
      </c>
      <c r="CC6">
        <f>IF(Data!35:35,"AAAAAF/39VA=",0)</f>
        <v>0</v>
      </c>
      <c r="CD6" t="e">
        <f>AND(Data!A35,"AAAAAF/39VE=")</f>
        <v>#VALUE!</v>
      </c>
      <c r="CE6" t="e">
        <f>AND(Data!B35,"AAAAAF/39VI=")</f>
        <v>#VALUE!</v>
      </c>
      <c r="CF6" t="e">
        <f>AND(Data!C35,"AAAAAF/39VM=")</f>
        <v>#VALUE!</v>
      </c>
      <c r="CG6" t="e">
        <f>AND(Data!D35,"AAAAAF/39VQ=")</f>
        <v>#VALUE!</v>
      </c>
      <c r="CH6" t="e">
        <f>AND(Data!E35,"AAAAAF/39VU=")</f>
        <v>#VALUE!</v>
      </c>
      <c r="CI6" t="e">
        <f>AND(Data!F35,"AAAAAF/39VY=")</f>
        <v>#VALUE!</v>
      </c>
      <c r="CJ6" t="e">
        <f>AND(Data!G35,"AAAAAF/39Vc=")</f>
        <v>#VALUE!</v>
      </c>
      <c r="CK6" t="e">
        <f>AND(Data!H35,"AAAAAF/39Vg=")</f>
        <v>#VALUE!</v>
      </c>
      <c r="CL6" t="e">
        <f>AND(Data!I35,"AAAAAF/39Vk=")</f>
        <v>#VALUE!</v>
      </c>
      <c r="CM6" t="e">
        <f>AND(Data!J35,"AAAAAF/39Vo=")</f>
        <v>#VALUE!</v>
      </c>
      <c r="CN6" t="e">
        <f>AND(Data!K35,"AAAAAF/39Vs=")</f>
        <v>#VALUE!</v>
      </c>
      <c r="CO6" t="e">
        <f>AND(Data!L35,"AAAAAF/39Vw=")</f>
        <v>#VALUE!</v>
      </c>
      <c r="CP6" t="e">
        <f>AND(Data!M35,"AAAAAF/39V0=")</f>
        <v>#VALUE!</v>
      </c>
      <c r="CQ6" t="e">
        <f>AND(Data!N35,"AAAAAF/39V4=")</f>
        <v>#VALUE!</v>
      </c>
      <c r="CR6" t="e">
        <f>AND(Data!O35,"AAAAAF/39V8=")</f>
        <v>#VALUE!</v>
      </c>
      <c r="CS6" t="e">
        <f>AND(Data!P35,"AAAAAF/39WA=")</f>
        <v>#VALUE!</v>
      </c>
      <c r="CT6" t="e">
        <f>AND(Data!Q35,"AAAAAF/39WE=")</f>
        <v>#VALUE!</v>
      </c>
      <c r="CU6" t="e">
        <f>AND(Data!R35,"AAAAAF/39WI=")</f>
        <v>#VALUE!</v>
      </c>
      <c r="CV6" t="e">
        <f>AND(Data!S35,"AAAAAF/39WM=")</f>
        <v>#VALUE!</v>
      </c>
      <c r="CW6" t="e">
        <f>AND(Data!T35,"AAAAAF/39WQ=")</f>
        <v>#VALUE!</v>
      </c>
      <c r="CX6" t="e">
        <f>AND(Data!U35,"AAAAAF/39WU=")</f>
        <v>#VALUE!</v>
      </c>
      <c r="CY6" t="e">
        <f>AND(Data!V35,"AAAAAF/39WY=")</f>
        <v>#VALUE!</v>
      </c>
      <c r="CZ6" t="e">
        <f>AND(Data!W35,"AAAAAF/39Wc=")</f>
        <v>#VALUE!</v>
      </c>
      <c r="DA6" t="e">
        <f>AND(Data!X35,"AAAAAF/39Wg=")</f>
        <v>#VALUE!</v>
      </c>
      <c r="DB6" t="e">
        <f>AND(Data!Y35,"AAAAAF/39Wk=")</f>
        <v>#VALUE!</v>
      </c>
      <c r="DC6" t="e">
        <f>AND(Data!Z35,"AAAAAF/39Wo=")</f>
        <v>#VALUE!</v>
      </c>
      <c r="DD6" t="e">
        <f>AND(Data!AA35,"AAAAAF/39Ws=")</f>
        <v>#VALUE!</v>
      </c>
      <c r="DE6" t="e">
        <f>AND(Data!AB35,"AAAAAF/39Ww=")</f>
        <v>#VALUE!</v>
      </c>
      <c r="DF6" t="e">
        <f>AND(Data!AC35,"AAAAAF/39W0=")</f>
        <v>#VALUE!</v>
      </c>
      <c r="DG6" t="e">
        <f>AND(Data!#REF!,"AAAAAF/39W4=")</f>
        <v>#REF!</v>
      </c>
      <c r="DH6" t="e">
        <f>AND(Data!#REF!,"AAAAAF/39W8=")</f>
        <v>#REF!</v>
      </c>
      <c r="DI6" t="e">
        <f>AND(Data!#REF!,"AAAAAF/39XA=")</f>
        <v>#REF!</v>
      </c>
      <c r="DJ6" t="e">
        <f>AND(Data!#REF!,"AAAAAF/39XE=")</f>
        <v>#REF!</v>
      </c>
      <c r="DK6" t="e">
        <f>AND(Data!#REF!,"AAAAAF/39XI=")</f>
        <v>#REF!</v>
      </c>
      <c r="DL6" t="e">
        <f>AND(Data!#REF!,"AAAAAF/39XM=")</f>
        <v>#REF!</v>
      </c>
      <c r="DM6" t="e">
        <f>AND(Data!#REF!,"AAAAAF/39XQ=")</f>
        <v>#REF!</v>
      </c>
      <c r="DN6" t="e">
        <f>AND(Data!#REF!,"AAAAAF/39XU=")</f>
        <v>#REF!</v>
      </c>
      <c r="DO6" t="e">
        <f>AND(Data!#REF!,"AAAAAF/39XY=")</f>
        <v>#REF!</v>
      </c>
      <c r="DP6" t="e">
        <f>AND(Data!#REF!,"AAAAAF/39Xc=")</f>
        <v>#REF!</v>
      </c>
      <c r="DQ6">
        <f>IF(Data!36:36,"AAAAAF/39Xg=",0)</f>
        <v>0</v>
      </c>
      <c r="DR6" t="e">
        <f>AND(Data!A36,"AAAAAF/39Xk=")</f>
        <v>#VALUE!</v>
      </c>
      <c r="DS6" t="e">
        <f>AND(Data!B36,"AAAAAF/39Xo=")</f>
        <v>#VALUE!</v>
      </c>
      <c r="DT6" t="e">
        <f>AND(Data!C36,"AAAAAF/39Xs=")</f>
        <v>#VALUE!</v>
      </c>
      <c r="DU6" t="e">
        <f>AND(Data!D36,"AAAAAF/39Xw=")</f>
        <v>#VALUE!</v>
      </c>
      <c r="DV6" t="e">
        <f>AND(Data!E36,"AAAAAF/39X0=")</f>
        <v>#VALUE!</v>
      </c>
      <c r="DW6" t="e">
        <f>AND(Data!F36,"AAAAAF/39X4=")</f>
        <v>#VALUE!</v>
      </c>
      <c r="DX6" t="e">
        <f>AND(Data!G36,"AAAAAF/39X8=")</f>
        <v>#VALUE!</v>
      </c>
      <c r="DY6" t="e">
        <f>AND(Data!H36,"AAAAAF/39YA=")</f>
        <v>#VALUE!</v>
      </c>
      <c r="DZ6" t="e">
        <f>AND(Data!I36,"AAAAAF/39YE=")</f>
        <v>#VALUE!</v>
      </c>
      <c r="EA6" t="e">
        <f>AND(Data!J36,"AAAAAF/39YI=")</f>
        <v>#VALUE!</v>
      </c>
      <c r="EB6" t="e">
        <f>AND(Data!K36,"AAAAAF/39YM=")</f>
        <v>#VALUE!</v>
      </c>
      <c r="EC6" t="e">
        <f>AND(Data!L36,"AAAAAF/39YQ=")</f>
        <v>#VALUE!</v>
      </c>
      <c r="ED6" t="e">
        <f>AND(Data!M36,"AAAAAF/39YU=")</f>
        <v>#VALUE!</v>
      </c>
      <c r="EE6" t="e">
        <f>AND(Data!N36,"AAAAAF/39YY=")</f>
        <v>#VALUE!</v>
      </c>
      <c r="EF6" t="e">
        <f>AND(Data!O36,"AAAAAF/39Yc=")</f>
        <v>#VALUE!</v>
      </c>
      <c r="EG6" t="e">
        <f>AND(Data!P36,"AAAAAF/39Yg=")</f>
        <v>#VALUE!</v>
      </c>
      <c r="EH6" t="e">
        <f>AND(Data!Q36,"AAAAAF/39Yk=")</f>
        <v>#VALUE!</v>
      </c>
      <c r="EI6" t="e">
        <f>AND(Data!R36,"AAAAAF/39Yo=")</f>
        <v>#VALUE!</v>
      </c>
      <c r="EJ6" t="e">
        <f>AND(Data!S36,"AAAAAF/39Ys=")</f>
        <v>#VALUE!</v>
      </c>
      <c r="EK6" t="e">
        <f>AND(Data!T36,"AAAAAF/39Yw=")</f>
        <v>#VALUE!</v>
      </c>
      <c r="EL6" t="e">
        <f>AND(Data!U36,"AAAAAF/39Y0=")</f>
        <v>#VALUE!</v>
      </c>
      <c r="EM6" t="e">
        <f>AND(Data!V36,"AAAAAF/39Y4=")</f>
        <v>#VALUE!</v>
      </c>
      <c r="EN6" t="e">
        <f>AND(Data!W36,"AAAAAF/39Y8=")</f>
        <v>#VALUE!</v>
      </c>
      <c r="EO6" t="e">
        <f>AND(Data!X36,"AAAAAF/39ZA=")</f>
        <v>#VALUE!</v>
      </c>
      <c r="EP6" t="e">
        <f>AND(Data!Y36,"AAAAAF/39ZE=")</f>
        <v>#VALUE!</v>
      </c>
      <c r="EQ6" t="e">
        <f>AND(Data!Z36,"AAAAAF/39ZI=")</f>
        <v>#VALUE!</v>
      </c>
      <c r="ER6" t="e">
        <f>AND(Data!AA36,"AAAAAF/39ZM=")</f>
        <v>#VALUE!</v>
      </c>
      <c r="ES6" t="e">
        <f>AND(Data!AB36,"AAAAAF/39ZQ=")</f>
        <v>#VALUE!</v>
      </c>
      <c r="ET6" t="e">
        <f>AND(Data!AC36,"AAAAAF/39ZU=")</f>
        <v>#VALUE!</v>
      </c>
      <c r="EU6" t="e">
        <f>AND(Data!#REF!,"AAAAAF/39ZY=")</f>
        <v>#REF!</v>
      </c>
      <c r="EV6" t="e">
        <f>AND(Data!#REF!,"AAAAAF/39Zc=")</f>
        <v>#REF!</v>
      </c>
      <c r="EW6" t="e">
        <f>AND(Data!#REF!,"AAAAAF/39Zg=")</f>
        <v>#REF!</v>
      </c>
      <c r="EX6" t="e">
        <f>AND(Data!#REF!,"AAAAAF/39Zk=")</f>
        <v>#REF!</v>
      </c>
      <c r="EY6" t="e">
        <f>AND(Data!#REF!,"AAAAAF/39Zo=")</f>
        <v>#REF!</v>
      </c>
      <c r="EZ6" t="e">
        <f>AND(Data!#REF!,"AAAAAF/39Zs=")</f>
        <v>#REF!</v>
      </c>
      <c r="FA6" t="e">
        <f>AND(Data!#REF!,"AAAAAF/39Zw=")</f>
        <v>#REF!</v>
      </c>
      <c r="FB6" t="e">
        <f>AND(Data!#REF!,"AAAAAF/39Z0=")</f>
        <v>#REF!</v>
      </c>
      <c r="FC6" t="e">
        <f>AND(Data!#REF!,"AAAAAF/39Z4=")</f>
        <v>#REF!</v>
      </c>
      <c r="FD6" t="e">
        <f>AND(Data!#REF!,"AAAAAF/39Z8=")</f>
        <v>#REF!</v>
      </c>
      <c r="FE6">
        <f>IF(Data!37:37,"AAAAAF/39aA=",0)</f>
        <v>0</v>
      </c>
      <c r="FF6" t="e">
        <f>AND(Data!A37,"AAAAAF/39aE=")</f>
        <v>#VALUE!</v>
      </c>
      <c r="FG6" t="e">
        <f>AND(Data!B37,"AAAAAF/39aI=")</f>
        <v>#VALUE!</v>
      </c>
      <c r="FH6" t="e">
        <f>AND(Data!C37,"AAAAAF/39aM=")</f>
        <v>#VALUE!</v>
      </c>
      <c r="FI6" t="e">
        <f>AND(Data!D37,"AAAAAF/39aQ=")</f>
        <v>#VALUE!</v>
      </c>
      <c r="FJ6" t="e">
        <f>AND(Data!E37,"AAAAAF/39aU=")</f>
        <v>#VALUE!</v>
      </c>
      <c r="FK6" t="e">
        <f>AND(Data!F37,"AAAAAF/39aY=")</f>
        <v>#VALUE!</v>
      </c>
      <c r="FL6" t="e">
        <f>AND(Data!G37,"AAAAAF/39ac=")</f>
        <v>#VALUE!</v>
      </c>
      <c r="FM6" t="e">
        <f>AND(Data!H37,"AAAAAF/39ag=")</f>
        <v>#VALUE!</v>
      </c>
      <c r="FN6" t="e">
        <f>AND(Data!I37,"AAAAAF/39ak=")</f>
        <v>#VALUE!</v>
      </c>
      <c r="FO6" t="e">
        <f>AND(Data!J37,"AAAAAF/39ao=")</f>
        <v>#VALUE!</v>
      </c>
      <c r="FP6" t="e">
        <f>AND(Data!K37,"AAAAAF/39as=")</f>
        <v>#VALUE!</v>
      </c>
      <c r="FQ6" t="e">
        <f>AND(Data!L37,"AAAAAF/39aw=")</f>
        <v>#VALUE!</v>
      </c>
      <c r="FR6" t="e">
        <f>AND(Data!M37,"AAAAAF/39a0=")</f>
        <v>#VALUE!</v>
      </c>
      <c r="FS6" t="e">
        <f>AND(Data!N37,"AAAAAF/39a4=")</f>
        <v>#VALUE!</v>
      </c>
      <c r="FT6" t="e">
        <f>AND(Data!O37,"AAAAAF/39a8=")</f>
        <v>#VALUE!</v>
      </c>
      <c r="FU6" t="e">
        <f>AND(Data!P37,"AAAAAF/39bA=")</f>
        <v>#VALUE!</v>
      </c>
      <c r="FV6" t="e">
        <f>AND(Data!Q37,"AAAAAF/39bE=")</f>
        <v>#VALUE!</v>
      </c>
      <c r="FW6" t="e">
        <f>AND(Data!R37,"AAAAAF/39bI=")</f>
        <v>#VALUE!</v>
      </c>
      <c r="FX6" t="e">
        <f>AND(Data!S37,"AAAAAF/39bM=")</f>
        <v>#VALUE!</v>
      </c>
      <c r="FY6" t="e">
        <f>AND(Data!T37,"AAAAAF/39bQ=")</f>
        <v>#VALUE!</v>
      </c>
      <c r="FZ6" t="e">
        <f>AND(Data!U37,"AAAAAF/39bU=")</f>
        <v>#VALUE!</v>
      </c>
      <c r="GA6" t="e">
        <f>AND(Data!V37,"AAAAAF/39bY=")</f>
        <v>#VALUE!</v>
      </c>
      <c r="GB6" t="e">
        <f>AND(Data!W37,"AAAAAF/39bc=")</f>
        <v>#VALUE!</v>
      </c>
      <c r="GC6" t="e">
        <f>AND(Data!X37,"AAAAAF/39bg=")</f>
        <v>#VALUE!</v>
      </c>
      <c r="GD6" t="e">
        <f>AND(Data!Y37,"AAAAAF/39bk=")</f>
        <v>#VALUE!</v>
      </c>
      <c r="GE6" t="e">
        <f>AND(Data!Z37,"AAAAAF/39bo=")</f>
        <v>#VALUE!</v>
      </c>
      <c r="GF6" t="e">
        <f>AND(Data!AA37,"AAAAAF/39bs=")</f>
        <v>#VALUE!</v>
      </c>
      <c r="GG6" t="e">
        <f>AND(Data!AB37,"AAAAAF/39bw=")</f>
        <v>#VALUE!</v>
      </c>
      <c r="GH6" t="e">
        <f>AND(Data!AC37,"AAAAAF/39b0=")</f>
        <v>#VALUE!</v>
      </c>
      <c r="GI6" t="e">
        <f>AND(Data!#REF!,"AAAAAF/39b4=")</f>
        <v>#REF!</v>
      </c>
      <c r="GJ6" t="e">
        <f>AND(Data!#REF!,"AAAAAF/39b8=")</f>
        <v>#REF!</v>
      </c>
      <c r="GK6" t="e">
        <f>AND(Data!#REF!,"AAAAAF/39cA=")</f>
        <v>#REF!</v>
      </c>
      <c r="GL6" t="e">
        <f>AND(Data!#REF!,"AAAAAF/39cE=")</f>
        <v>#REF!</v>
      </c>
      <c r="GM6" t="e">
        <f>AND(Data!#REF!,"AAAAAF/39cI=")</f>
        <v>#REF!</v>
      </c>
      <c r="GN6" t="e">
        <f>AND(Data!#REF!,"AAAAAF/39cM=")</f>
        <v>#REF!</v>
      </c>
      <c r="GO6" t="e">
        <f>AND(Data!#REF!,"AAAAAF/39cQ=")</f>
        <v>#REF!</v>
      </c>
      <c r="GP6" t="e">
        <f>AND(Data!#REF!,"AAAAAF/39cU=")</f>
        <v>#REF!</v>
      </c>
      <c r="GQ6" t="e">
        <f>AND(Data!#REF!,"AAAAAF/39cY=")</f>
        <v>#REF!</v>
      </c>
      <c r="GR6" t="e">
        <f>AND(Data!#REF!,"AAAAAF/39cc=")</f>
        <v>#REF!</v>
      </c>
      <c r="GS6">
        <f>IF(Data!38:38,"AAAAAF/39cg=",0)</f>
        <v>0</v>
      </c>
      <c r="GT6" t="e">
        <f>AND(Data!A38,"AAAAAF/39ck=")</f>
        <v>#VALUE!</v>
      </c>
      <c r="GU6" t="e">
        <f>AND(Data!B38,"AAAAAF/39co=")</f>
        <v>#VALUE!</v>
      </c>
      <c r="GV6" t="e">
        <f>AND(Data!C38,"AAAAAF/39cs=")</f>
        <v>#VALUE!</v>
      </c>
      <c r="GW6" t="e">
        <f>AND(Data!D38,"AAAAAF/39cw=")</f>
        <v>#VALUE!</v>
      </c>
      <c r="GX6" t="e">
        <f>AND(Data!E38,"AAAAAF/39c0=")</f>
        <v>#VALUE!</v>
      </c>
      <c r="GY6" t="e">
        <f>AND(Data!F38,"AAAAAF/39c4=")</f>
        <v>#VALUE!</v>
      </c>
      <c r="GZ6" t="e">
        <f>AND(Data!G38,"AAAAAF/39c8=")</f>
        <v>#VALUE!</v>
      </c>
      <c r="HA6" t="e">
        <f>AND(Data!H38,"AAAAAF/39dA=")</f>
        <v>#VALUE!</v>
      </c>
      <c r="HB6" t="e">
        <f>AND(Data!I38,"AAAAAF/39dE=")</f>
        <v>#VALUE!</v>
      </c>
      <c r="HC6" t="e">
        <f>AND(Data!J38,"AAAAAF/39dI=")</f>
        <v>#VALUE!</v>
      </c>
      <c r="HD6" t="e">
        <f>AND(Data!K38,"AAAAAF/39dM=")</f>
        <v>#VALUE!</v>
      </c>
      <c r="HE6" t="e">
        <f>AND(Data!L38,"AAAAAF/39dQ=")</f>
        <v>#VALUE!</v>
      </c>
      <c r="HF6" t="e">
        <f>AND(Data!M38,"AAAAAF/39dU=")</f>
        <v>#VALUE!</v>
      </c>
      <c r="HG6" t="e">
        <f>AND(Data!N38,"AAAAAF/39dY=")</f>
        <v>#VALUE!</v>
      </c>
      <c r="HH6" t="e">
        <f>AND(Data!O38,"AAAAAF/39dc=")</f>
        <v>#VALUE!</v>
      </c>
      <c r="HI6" t="e">
        <f>AND(Data!P38,"AAAAAF/39dg=")</f>
        <v>#VALUE!</v>
      </c>
      <c r="HJ6" t="e">
        <f>AND(Data!Q38,"AAAAAF/39dk=")</f>
        <v>#VALUE!</v>
      </c>
      <c r="HK6" t="e">
        <f>AND(Data!R38,"AAAAAF/39do=")</f>
        <v>#VALUE!</v>
      </c>
      <c r="HL6" t="e">
        <f>AND(Data!S38,"AAAAAF/39ds=")</f>
        <v>#VALUE!</v>
      </c>
      <c r="HM6" t="e">
        <f>AND(Data!T38,"AAAAAF/39dw=")</f>
        <v>#VALUE!</v>
      </c>
      <c r="HN6" t="e">
        <f>AND(Data!U38,"AAAAAF/39d0=")</f>
        <v>#VALUE!</v>
      </c>
      <c r="HO6" t="e">
        <f>AND(Data!V38,"AAAAAF/39d4=")</f>
        <v>#VALUE!</v>
      </c>
      <c r="HP6" t="e">
        <f>AND(Data!W38,"AAAAAF/39d8=")</f>
        <v>#VALUE!</v>
      </c>
      <c r="HQ6" t="e">
        <f>AND(Data!X38,"AAAAAF/39eA=")</f>
        <v>#VALUE!</v>
      </c>
      <c r="HR6" t="e">
        <f>AND(Data!Y38,"AAAAAF/39eE=")</f>
        <v>#VALUE!</v>
      </c>
      <c r="HS6" t="e">
        <f>AND(Data!Z38,"AAAAAF/39eI=")</f>
        <v>#VALUE!</v>
      </c>
      <c r="HT6" t="e">
        <f>AND(Data!AA38,"AAAAAF/39eM=")</f>
        <v>#VALUE!</v>
      </c>
      <c r="HU6" t="e">
        <f>AND(Data!AB38,"AAAAAF/39eQ=")</f>
        <v>#VALUE!</v>
      </c>
      <c r="HV6" t="e">
        <f>AND(Data!AC38,"AAAAAF/39eU=")</f>
        <v>#VALUE!</v>
      </c>
      <c r="HW6" t="e">
        <f>AND(Data!#REF!,"AAAAAF/39eY=")</f>
        <v>#REF!</v>
      </c>
      <c r="HX6" t="e">
        <f>AND(Data!#REF!,"AAAAAF/39ec=")</f>
        <v>#REF!</v>
      </c>
      <c r="HY6" t="e">
        <f>AND(Data!#REF!,"AAAAAF/39eg=")</f>
        <v>#REF!</v>
      </c>
      <c r="HZ6" t="e">
        <f>AND(Data!#REF!,"AAAAAF/39ek=")</f>
        <v>#REF!</v>
      </c>
      <c r="IA6" t="e">
        <f>AND(Data!#REF!,"AAAAAF/39eo=")</f>
        <v>#REF!</v>
      </c>
      <c r="IB6" t="e">
        <f>AND(Data!#REF!,"AAAAAF/39es=")</f>
        <v>#REF!</v>
      </c>
      <c r="IC6" t="e">
        <f>AND(Data!#REF!,"AAAAAF/39ew=")</f>
        <v>#REF!</v>
      </c>
      <c r="ID6" t="e">
        <f>AND(Data!#REF!,"AAAAAF/39e0=")</f>
        <v>#REF!</v>
      </c>
      <c r="IE6" t="e">
        <f>AND(Data!#REF!,"AAAAAF/39e4=")</f>
        <v>#REF!</v>
      </c>
      <c r="IF6" t="e">
        <f>AND(Data!#REF!,"AAAAAF/39e8=")</f>
        <v>#REF!</v>
      </c>
      <c r="IG6">
        <f>IF(Data!39:39,"AAAAAF/39fA=",0)</f>
        <v>0</v>
      </c>
      <c r="IH6" t="e">
        <f>AND(Data!A39,"AAAAAF/39fE=")</f>
        <v>#VALUE!</v>
      </c>
      <c r="II6" t="e">
        <f>AND(Data!B39,"AAAAAF/39fI=")</f>
        <v>#VALUE!</v>
      </c>
      <c r="IJ6" t="e">
        <f>AND(Data!C39,"AAAAAF/39fM=")</f>
        <v>#VALUE!</v>
      </c>
      <c r="IK6" t="e">
        <f>AND(Data!D39,"AAAAAF/39fQ=")</f>
        <v>#VALUE!</v>
      </c>
      <c r="IL6" t="e">
        <f>AND(Data!E39,"AAAAAF/39fU=")</f>
        <v>#VALUE!</v>
      </c>
      <c r="IM6" t="e">
        <f>AND(Data!F39,"AAAAAF/39fY=")</f>
        <v>#VALUE!</v>
      </c>
      <c r="IN6" t="e">
        <f>AND(Data!G39,"AAAAAF/39fc=")</f>
        <v>#VALUE!</v>
      </c>
      <c r="IO6" t="e">
        <f>AND(Data!H39,"AAAAAF/39fg=")</f>
        <v>#VALUE!</v>
      </c>
      <c r="IP6" t="e">
        <f>AND(Data!I39,"AAAAAF/39fk=")</f>
        <v>#VALUE!</v>
      </c>
      <c r="IQ6" t="e">
        <f>AND(Data!J39,"AAAAAF/39fo=")</f>
        <v>#VALUE!</v>
      </c>
      <c r="IR6" t="e">
        <f>AND(Data!K39,"AAAAAF/39fs=")</f>
        <v>#VALUE!</v>
      </c>
      <c r="IS6" t="e">
        <f>AND(Data!L39,"AAAAAF/39fw=")</f>
        <v>#VALUE!</v>
      </c>
      <c r="IT6" t="e">
        <f>AND(Data!M39,"AAAAAF/39f0=")</f>
        <v>#VALUE!</v>
      </c>
      <c r="IU6" t="e">
        <f>AND(Data!N39,"AAAAAF/39f4=")</f>
        <v>#VALUE!</v>
      </c>
      <c r="IV6" t="e">
        <f>AND(Data!O39,"AAAAAF/39f8=")</f>
        <v>#VALUE!</v>
      </c>
    </row>
    <row r="7" spans="1:256" ht="12.75">
      <c r="A7" t="e">
        <f>AND(Data!P39,"AAAAAF96GQA=")</f>
        <v>#VALUE!</v>
      </c>
      <c r="B7" t="e">
        <f>AND(Data!Q39,"AAAAAF96GQE=")</f>
        <v>#VALUE!</v>
      </c>
      <c r="C7" t="e">
        <f>AND(Data!R39,"AAAAAF96GQI=")</f>
        <v>#VALUE!</v>
      </c>
      <c r="D7" t="e">
        <f>AND(Data!S39,"AAAAAF96GQM=")</f>
        <v>#VALUE!</v>
      </c>
      <c r="E7" t="e">
        <f>AND(Data!T39,"AAAAAF96GQQ=")</f>
        <v>#VALUE!</v>
      </c>
      <c r="F7" t="e">
        <f>AND(Data!U39,"AAAAAF96GQU=")</f>
        <v>#VALUE!</v>
      </c>
      <c r="G7" t="e">
        <f>AND(Data!V39,"AAAAAF96GQY=")</f>
        <v>#VALUE!</v>
      </c>
      <c r="H7" t="e">
        <f>AND(Data!W39,"AAAAAF96GQc=")</f>
        <v>#VALUE!</v>
      </c>
      <c r="I7" t="e">
        <f>AND(Data!X39,"AAAAAF96GQg=")</f>
        <v>#VALUE!</v>
      </c>
      <c r="J7" t="e">
        <f>AND(Data!Y39,"AAAAAF96GQk=")</f>
        <v>#VALUE!</v>
      </c>
      <c r="K7" t="e">
        <f>AND(Data!Z39,"AAAAAF96GQo=")</f>
        <v>#VALUE!</v>
      </c>
      <c r="L7" t="e">
        <f>AND(Data!AA39,"AAAAAF96GQs=")</f>
        <v>#VALUE!</v>
      </c>
      <c r="M7" t="e">
        <f>AND(Data!AB39,"AAAAAF96GQw=")</f>
        <v>#VALUE!</v>
      </c>
      <c r="N7" t="e">
        <f>AND(Data!AC39,"AAAAAF96GQ0=")</f>
        <v>#VALUE!</v>
      </c>
      <c r="O7" t="e">
        <f>AND(Data!#REF!,"AAAAAF96GQ4=")</f>
        <v>#REF!</v>
      </c>
      <c r="P7" t="e">
        <f>AND(Data!#REF!,"AAAAAF96GQ8=")</f>
        <v>#REF!</v>
      </c>
      <c r="Q7" t="e">
        <f>AND(Data!#REF!,"AAAAAF96GRA=")</f>
        <v>#REF!</v>
      </c>
      <c r="R7" t="e">
        <f>AND(Data!#REF!,"AAAAAF96GRE=")</f>
        <v>#REF!</v>
      </c>
      <c r="S7" t="e">
        <f>AND(Data!#REF!,"AAAAAF96GRI=")</f>
        <v>#REF!</v>
      </c>
      <c r="T7" t="e">
        <f>AND(Data!#REF!,"AAAAAF96GRM=")</f>
        <v>#REF!</v>
      </c>
      <c r="U7" t="e">
        <f>AND(Data!#REF!,"AAAAAF96GRQ=")</f>
        <v>#REF!</v>
      </c>
      <c r="V7" t="e">
        <f>AND(Data!#REF!,"AAAAAF96GRU=")</f>
        <v>#REF!</v>
      </c>
      <c r="W7" t="e">
        <f>AND(Data!#REF!,"AAAAAF96GRY=")</f>
        <v>#REF!</v>
      </c>
      <c r="X7" t="e">
        <f>AND(Data!#REF!,"AAAAAF96GRc=")</f>
        <v>#REF!</v>
      </c>
      <c r="Y7">
        <f>IF(Data!40:40,"AAAAAF96GRg=",0)</f>
        <v>0</v>
      </c>
      <c r="Z7" t="e">
        <f>AND(Data!A40,"AAAAAF96GRk=")</f>
        <v>#VALUE!</v>
      </c>
      <c r="AA7" t="e">
        <f>AND(Data!B40,"AAAAAF96GRo=")</f>
        <v>#VALUE!</v>
      </c>
      <c r="AB7" t="e">
        <f>AND(Data!C40,"AAAAAF96GRs=")</f>
        <v>#VALUE!</v>
      </c>
      <c r="AC7" t="e">
        <f>AND(Data!D40,"AAAAAF96GRw=")</f>
        <v>#VALUE!</v>
      </c>
      <c r="AD7" t="e">
        <f>AND(Data!E40,"AAAAAF96GR0=")</f>
        <v>#VALUE!</v>
      </c>
      <c r="AE7" t="e">
        <f>AND(Data!F40,"AAAAAF96GR4=")</f>
        <v>#VALUE!</v>
      </c>
      <c r="AF7" t="e">
        <f>AND(Data!G40,"AAAAAF96GR8=")</f>
        <v>#VALUE!</v>
      </c>
      <c r="AG7" t="e">
        <f>AND(Data!H40,"AAAAAF96GSA=")</f>
        <v>#VALUE!</v>
      </c>
      <c r="AH7" t="e">
        <f>AND(Data!I40,"AAAAAF96GSE=")</f>
        <v>#VALUE!</v>
      </c>
      <c r="AI7" t="e">
        <f>AND(Data!J40,"AAAAAF96GSI=")</f>
        <v>#VALUE!</v>
      </c>
      <c r="AJ7" t="e">
        <f>AND(Data!K40,"AAAAAF96GSM=")</f>
        <v>#VALUE!</v>
      </c>
      <c r="AK7" t="e">
        <f>AND(Data!L40,"AAAAAF96GSQ=")</f>
        <v>#VALUE!</v>
      </c>
      <c r="AL7" t="e">
        <f>AND(Data!M40,"AAAAAF96GSU=")</f>
        <v>#VALUE!</v>
      </c>
      <c r="AM7" t="e">
        <f>AND(Data!N40,"AAAAAF96GSY=")</f>
        <v>#VALUE!</v>
      </c>
      <c r="AN7" t="e">
        <f>AND(Data!O40,"AAAAAF96GSc=")</f>
        <v>#VALUE!</v>
      </c>
      <c r="AO7" t="e">
        <f>AND(Data!P40,"AAAAAF96GSg=")</f>
        <v>#VALUE!</v>
      </c>
      <c r="AP7" t="e">
        <f>AND(Data!Q40,"AAAAAF96GSk=")</f>
        <v>#VALUE!</v>
      </c>
      <c r="AQ7" t="e">
        <f>AND(Data!R40,"AAAAAF96GSo=")</f>
        <v>#VALUE!</v>
      </c>
      <c r="AR7" t="e">
        <f>AND(Data!S40,"AAAAAF96GSs=")</f>
        <v>#VALUE!</v>
      </c>
      <c r="AS7" t="e">
        <f>AND(Data!T40,"AAAAAF96GSw=")</f>
        <v>#VALUE!</v>
      </c>
      <c r="AT7" t="e">
        <f>AND(Data!U40,"AAAAAF96GS0=")</f>
        <v>#VALUE!</v>
      </c>
      <c r="AU7" t="e">
        <f>AND(Data!V40,"AAAAAF96GS4=")</f>
        <v>#VALUE!</v>
      </c>
      <c r="AV7" t="e">
        <f>AND(Data!W40,"AAAAAF96GS8=")</f>
        <v>#VALUE!</v>
      </c>
      <c r="AW7" t="e">
        <f>AND(Data!X40,"AAAAAF96GTA=")</f>
        <v>#VALUE!</v>
      </c>
      <c r="AX7" t="e">
        <f>AND(Data!Y40,"AAAAAF96GTE=")</f>
        <v>#VALUE!</v>
      </c>
      <c r="AY7" t="e">
        <f>AND(Data!Z40,"AAAAAF96GTI=")</f>
        <v>#VALUE!</v>
      </c>
      <c r="AZ7" t="e">
        <f>AND(Data!AA40,"AAAAAF96GTM=")</f>
        <v>#VALUE!</v>
      </c>
      <c r="BA7" t="e">
        <f>AND(Data!AB40,"AAAAAF96GTQ=")</f>
        <v>#VALUE!</v>
      </c>
      <c r="BB7" t="e">
        <f>AND(Data!AC40,"AAAAAF96GTU=")</f>
        <v>#VALUE!</v>
      </c>
      <c r="BC7" t="e">
        <f>AND(Data!#REF!,"AAAAAF96GTY=")</f>
        <v>#REF!</v>
      </c>
      <c r="BD7" t="e">
        <f>AND(Data!#REF!,"AAAAAF96GTc=")</f>
        <v>#REF!</v>
      </c>
      <c r="BE7" t="e">
        <f>AND(Data!#REF!,"AAAAAF96GTg=")</f>
        <v>#REF!</v>
      </c>
      <c r="BF7" t="e">
        <f>AND(Data!#REF!,"AAAAAF96GTk=")</f>
        <v>#REF!</v>
      </c>
      <c r="BG7" t="e">
        <f>AND(Data!#REF!,"AAAAAF96GTo=")</f>
        <v>#REF!</v>
      </c>
      <c r="BH7" t="e">
        <f>AND(Data!#REF!,"AAAAAF96GTs=")</f>
        <v>#REF!</v>
      </c>
      <c r="BI7" t="e">
        <f>AND(Data!#REF!,"AAAAAF96GTw=")</f>
        <v>#REF!</v>
      </c>
      <c r="BJ7" t="e">
        <f>AND(Data!#REF!,"AAAAAF96GT0=")</f>
        <v>#REF!</v>
      </c>
      <c r="BK7" t="e">
        <f>AND(Data!#REF!,"AAAAAF96GT4=")</f>
        <v>#REF!</v>
      </c>
      <c r="BL7" t="e">
        <f>AND(Data!#REF!,"AAAAAF96GT8=")</f>
        <v>#REF!</v>
      </c>
      <c r="BM7">
        <f>IF(Data!41:41,"AAAAAF96GUA=",0)</f>
        <v>0</v>
      </c>
      <c r="BN7" t="e">
        <f>AND(Data!A41,"AAAAAF96GUE=")</f>
        <v>#VALUE!</v>
      </c>
      <c r="BO7" t="e">
        <f>AND(Data!B41,"AAAAAF96GUI=")</f>
        <v>#VALUE!</v>
      </c>
      <c r="BP7" t="e">
        <f>AND(Data!C41,"AAAAAF96GUM=")</f>
        <v>#VALUE!</v>
      </c>
      <c r="BQ7" t="e">
        <f>AND(Data!D41,"AAAAAF96GUQ=")</f>
        <v>#VALUE!</v>
      </c>
      <c r="BR7" t="e">
        <f>AND(Data!E41,"AAAAAF96GUU=")</f>
        <v>#VALUE!</v>
      </c>
      <c r="BS7" t="e">
        <f>AND(Data!F41,"AAAAAF96GUY=")</f>
        <v>#VALUE!</v>
      </c>
      <c r="BT7" t="e">
        <f>AND(Data!G41,"AAAAAF96GUc=")</f>
        <v>#VALUE!</v>
      </c>
      <c r="BU7" t="e">
        <f>AND(Data!H41,"AAAAAF96GUg=")</f>
        <v>#VALUE!</v>
      </c>
      <c r="BV7" t="e">
        <f>AND(Data!I41,"AAAAAF96GUk=")</f>
        <v>#VALUE!</v>
      </c>
      <c r="BW7" t="e">
        <f>AND(Data!J41,"AAAAAF96GUo=")</f>
        <v>#VALUE!</v>
      </c>
      <c r="BX7" t="e">
        <f>AND(Data!K41,"AAAAAF96GUs=")</f>
        <v>#VALUE!</v>
      </c>
      <c r="BY7" t="e">
        <f>AND(Data!L41,"AAAAAF96GUw=")</f>
        <v>#VALUE!</v>
      </c>
      <c r="BZ7" t="e">
        <f>AND(Data!M41,"AAAAAF96GU0=")</f>
        <v>#VALUE!</v>
      </c>
      <c r="CA7" t="e">
        <f>AND(Data!N41,"AAAAAF96GU4=")</f>
        <v>#VALUE!</v>
      </c>
      <c r="CB7" t="e">
        <f>AND(Data!O41,"AAAAAF96GU8=")</f>
        <v>#VALUE!</v>
      </c>
      <c r="CC7" t="e">
        <f>AND(Data!P41,"AAAAAF96GVA=")</f>
        <v>#VALUE!</v>
      </c>
      <c r="CD7" t="e">
        <f>AND(Data!Q41,"AAAAAF96GVE=")</f>
        <v>#VALUE!</v>
      </c>
      <c r="CE7" t="e">
        <f>AND(Data!R41,"AAAAAF96GVI=")</f>
        <v>#VALUE!</v>
      </c>
      <c r="CF7" t="e">
        <f>AND(Data!S41,"AAAAAF96GVM=")</f>
        <v>#VALUE!</v>
      </c>
      <c r="CG7" t="e">
        <f>AND(Data!T41,"AAAAAF96GVQ=")</f>
        <v>#VALUE!</v>
      </c>
      <c r="CH7" t="e">
        <f>AND(Data!U41,"AAAAAF96GVU=")</f>
        <v>#VALUE!</v>
      </c>
      <c r="CI7" t="e">
        <f>AND(Data!V41,"AAAAAF96GVY=")</f>
        <v>#VALUE!</v>
      </c>
      <c r="CJ7" t="e">
        <f>AND(Data!W41,"AAAAAF96GVc=")</f>
        <v>#VALUE!</v>
      </c>
      <c r="CK7" t="e">
        <f>AND(Data!X41,"AAAAAF96GVg=")</f>
        <v>#VALUE!</v>
      </c>
      <c r="CL7" t="e">
        <f>AND(Data!Y41,"AAAAAF96GVk=")</f>
        <v>#VALUE!</v>
      </c>
      <c r="CM7" t="e">
        <f>AND(Data!Z41,"AAAAAF96GVo=")</f>
        <v>#VALUE!</v>
      </c>
      <c r="CN7" t="e">
        <f>AND(Data!AA41,"AAAAAF96GVs=")</f>
        <v>#VALUE!</v>
      </c>
      <c r="CO7" t="e">
        <f>AND(Data!AB41,"AAAAAF96GVw=")</f>
        <v>#VALUE!</v>
      </c>
      <c r="CP7" t="e">
        <f>AND(Data!AC41,"AAAAAF96GV0=")</f>
        <v>#VALUE!</v>
      </c>
      <c r="CQ7" t="e">
        <f>AND(Data!#REF!,"AAAAAF96GV4=")</f>
        <v>#REF!</v>
      </c>
      <c r="CR7" t="e">
        <f>AND(Data!#REF!,"AAAAAF96GV8=")</f>
        <v>#REF!</v>
      </c>
      <c r="CS7" t="e">
        <f>AND(Data!#REF!,"AAAAAF96GWA=")</f>
        <v>#REF!</v>
      </c>
      <c r="CT7" t="e">
        <f>AND(Data!#REF!,"AAAAAF96GWE=")</f>
        <v>#REF!</v>
      </c>
      <c r="CU7" t="e">
        <f>AND(Data!#REF!,"AAAAAF96GWI=")</f>
        <v>#REF!</v>
      </c>
      <c r="CV7" t="e">
        <f>AND(Data!#REF!,"AAAAAF96GWM=")</f>
        <v>#REF!</v>
      </c>
      <c r="CW7" t="e">
        <f>AND(Data!#REF!,"AAAAAF96GWQ=")</f>
        <v>#REF!</v>
      </c>
      <c r="CX7" t="e">
        <f>AND(Data!#REF!,"AAAAAF96GWU=")</f>
        <v>#REF!</v>
      </c>
      <c r="CY7" t="e">
        <f>AND(Data!#REF!,"AAAAAF96GWY=")</f>
        <v>#REF!</v>
      </c>
      <c r="CZ7" t="e">
        <f>AND(Data!#REF!,"AAAAAF96GWc=")</f>
        <v>#REF!</v>
      </c>
      <c r="DA7">
        <f>IF(Data!42:42,"AAAAAF96GWg=",0)</f>
        <v>0</v>
      </c>
      <c r="DB7" t="e">
        <f>AND(Data!A42,"AAAAAF96GWk=")</f>
        <v>#VALUE!</v>
      </c>
      <c r="DC7" t="e">
        <f>AND(Data!B42,"AAAAAF96GWo=")</f>
        <v>#VALUE!</v>
      </c>
      <c r="DD7" t="e">
        <f>AND(Data!C42,"AAAAAF96GWs=")</f>
        <v>#VALUE!</v>
      </c>
      <c r="DE7" t="e">
        <f>AND(Data!D42,"AAAAAF96GWw=")</f>
        <v>#VALUE!</v>
      </c>
      <c r="DF7" t="e">
        <f>AND(Data!E42,"AAAAAF96GW0=")</f>
        <v>#VALUE!</v>
      </c>
      <c r="DG7" t="e">
        <f>AND(Data!F42,"AAAAAF96GW4=")</f>
        <v>#VALUE!</v>
      </c>
      <c r="DH7" t="e">
        <f>AND(Data!G42,"AAAAAF96GW8=")</f>
        <v>#VALUE!</v>
      </c>
      <c r="DI7" t="e">
        <f>AND(Data!H42,"AAAAAF96GXA=")</f>
        <v>#VALUE!</v>
      </c>
      <c r="DJ7" t="e">
        <f>AND(Data!I42,"AAAAAF96GXE=")</f>
        <v>#VALUE!</v>
      </c>
      <c r="DK7" t="e">
        <f>AND(Data!J42,"AAAAAF96GXI=")</f>
        <v>#VALUE!</v>
      </c>
      <c r="DL7" t="e">
        <f>AND(Data!K42,"AAAAAF96GXM=")</f>
        <v>#VALUE!</v>
      </c>
      <c r="DM7" t="e">
        <f>AND(Data!L42,"AAAAAF96GXQ=")</f>
        <v>#VALUE!</v>
      </c>
      <c r="DN7" t="e">
        <f>AND(Data!M42,"AAAAAF96GXU=")</f>
        <v>#VALUE!</v>
      </c>
      <c r="DO7" t="e">
        <f>AND(Data!N42,"AAAAAF96GXY=")</f>
        <v>#VALUE!</v>
      </c>
      <c r="DP7" t="e">
        <f>AND(Data!O42,"AAAAAF96GXc=")</f>
        <v>#VALUE!</v>
      </c>
      <c r="DQ7" t="e">
        <f>AND(Data!P42,"AAAAAF96GXg=")</f>
        <v>#VALUE!</v>
      </c>
      <c r="DR7" t="e">
        <f>AND(Data!#REF!,"AAAAAF96GXk=")</f>
        <v>#REF!</v>
      </c>
      <c r="DS7" t="e">
        <f>AND(Data!Q42,"AAAAAF96GXo=")</f>
        <v>#VALUE!</v>
      </c>
      <c r="DT7" t="e">
        <f>AND(Data!S42,"AAAAAF96GXs=")</f>
        <v>#VALUE!</v>
      </c>
      <c r="DU7" t="e">
        <f>AND(Data!T42,"AAAAAF96GXw=")</f>
        <v>#VALUE!</v>
      </c>
      <c r="DV7" t="e">
        <f>AND(Data!U42,"AAAAAF96GX0=")</f>
        <v>#VALUE!</v>
      </c>
      <c r="DW7" t="e">
        <f>AND(Data!V42,"AAAAAF96GX4=")</f>
        <v>#VALUE!</v>
      </c>
      <c r="DX7" t="e">
        <f>AND(Data!W42,"AAAAAF96GX8=")</f>
        <v>#VALUE!</v>
      </c>
      <c r="DY7" t="e">
        <f>AND(Data!X42,"AAAAAF96GYA=")</f>
        <v>#VALUE!</v>
      </c>
      <c r="DZ7" t="e">
        <f>AND(Data!Y42,"AAAAAF96GYE=")</f>
        <v>#VALUE!</v>
      </c>
      <c r="EA7" t="e">
        <f>AND(Data!Z42,"AAAAAF96GYI=")</f>
        <v>#VALUE!</v>
      </c>
      <c r="EB7" t="e">
        <f>AND(Data!AA42,"AAAAAF96GYM=")</f>
        <v>#VALUE!</v>
      </c>
      <c r="EC7" t="e">
        <f>AND(Data!AB42,"AAAAAF96GYQ=")</f>
        <v>#VALUE!</v>
      </c>
      <c r="ED7" t="e">
        <f>AND(Data!AC42,"AAAAAF96GYU=")</f>
        <v>#VALUE!</v>
      </c>
      <c r="EE7" t="e">
        <f>AND(Data!#REF!,"AAAAAF96GYY=")</f>
        <v>#REF!</v>
      </c>
      <c r="EF7" t="e">
        <f>AND(Data!#REF!,"AAAAAF96GYc=")</f>
        <v>#REF!</v>
      </c>
      <c r="EG7" t="e">
        <f>AND(Data!#REF!,"AAAAAF96GYg=")</f>
        <v>#REF!</v>
      </c>
      <c r="EH7" t="e">
        <f>AND(Data!#REF!,"AAAAAF96GYk=")</f>
        <v>#REF!</v>
      </c>
      <c r="EI7" t="e">
        <f>AND(Data!#REF!,"AAAAAF96GYo=")</f>
        <v>#REF!</v>
      </c>
      <c r="EJ7" t="e">
        <f>AND(Data!#REF!,"AAAAAF96GYs=")</f>
        <v>#REF!</v>
      </c>
      <c r="EK7" t="e">
        <f>AND(Data!#REF!,"AAAAAF96GYw=")</f>
        <v>#REF!</v>
      </c>
      <c r="EL7" t="e">
        <f>AND(Data!#REF!,"AAAAAF96GY0=")</f>
        <v>#REF!</v>
      </c>
      <c r="EM7" t="e">
        <f>AND(Data!#REF!,"AAAAAF96GY4=")</f>
        <v>#REF!</v>
      </c>
      <c r="EN7" t="e">
        <f>AND(Data!#REF!,"AAAAAF96GY8=")</f>
        <v>#REF!</v>
      </c>
      <c r="EO7">
        <f>IF(Data!43:43,"AAAAAF96GZA=",0)</f>
        <v>0</v>
      </c>
      <c r="EP7" t="e">
        <f>AND(Data!A43,"AAAAAF96GZE=")</f>
        <v>#VALUE!</v>
      </c>
      <c r="EQ7" t="e">
        <f>AND(Data!B43,"AAAAAF96GZI=")</f>
        <v>#VALUE!</v>
      </c>
      <c r="ER7" t="e">
        <f>AND(Data!C43,"AAAAAF96GZM=")</f>
        <v>#VALUE!</v>
      </c>
      <c r="ES7" t="e">
        <f>AND(Data!D43,"AAAAAF96GZQ=")</f>
        <v>#VALUE!</v>
      </c>
      <c r="ET7" t="e">
        <f>AND(Data!E43,"AAAAAF96GZU=")</f>
        <v>#VALUE!</v>
      </c>
      <c r="EU7" t="e">
        <f>AND(Data!F43,"AAAAAF96GZY=")</f>
        <v>#VALUE!</v>
      </c>
      <c r="EV7" t="e">
        <f>AND(Data!G43,"AAAAAF96GZc=")</f>
        <v>#VALUE!</v>
      </c>
      <c r="EW7" t="e">
        <f>AND(Data!H43,"AAAAAF96GZg=")</f>
        <v>#VALUE!</v>
      </c>
      <c r="EX7" t="e">
        <f>AND(Data!I43,"AAAAAF96GZk=")</f>
        <v>#VALUE!</v>
      </c>
      <c r="EY7" t="e">
        <f>AND(Data!J43,"AAAAAF96GZo=")</f>
        <v>#VALUE!</v>
      </c>
      <c r="EZ7" t="e">
        <f>AND(Data!K43,"AAAAAF96GZs=")</f>
        <v>#VALUE!</v>
      </c>
      <c r="FA7" t="e">
        <f>AND(Data!L43,"AAAAAF96GZw=")</f>
        <v>#VALUE!</v>
      </c>
      <c r="FB7" t="e">
        <f>AND(Data!M43,"AAAAAF96GZ0=")</f>
        <v>#VALUE!</v>
      </c>
      <c r="FC7" t="e">
        <f>AND(Data!N43,"AAAAAF96GZ4=")</f>
        <v>#VALUE!</v>
      </c>
      <c r="FD7" t="e">
        <f>AND(Data!O43,"AAAAAF96GZ8=")</f>
        <v>#VALUE!</v>
      </c>
      <c r="FE7" t="e">
        <f>AND(Data!P43,"AAAAAF96GaA=")</f>
        <v>#VALUE!</v>
      </c>
      <c r="FF7" t="e">
        <f>AND(Data!Q43,"AAAAAF96GaE=")</f>
        <v>#VALUE!</v>
      </c>
      <c r="FG7" t="e">
        <f>AND(Data!R43,"AAAAAF96GaI=")</f>
        <v>#VALUE!</v>
      </c>
      <c r="FH7" t="e">
        <f>AND(Data!S43,"AAAAAF96GaM=")</f>
        <v>#VALUE!</v>
      </c>
      <c r="FI7" t="e">
        <f>AND(Data!T43,"AAAAAF96GaQ=")</f>
        <v>#VALUE!</v>
      </c>
      <c r="FJ7" t="e">
        <f>AND(Data!U43,"AAAAAF96GaU=")</f>
        <v>#VALUE!</v>
      </c>
      <c r="FK7" t="e">
        <f>AND(Data!V43,"AAAAAF96GaY=")</f>
        <v>#VALUE!</v>
      </c>
      <c r="FL7" t="e">
        <f>AND(Data!W43,"AAAAAF96Gac=")</f>
        <v>#VALUE!</v>
      </c>
      <c r="FM7" t="e">
        <f>AND(Data!X43,"AAAAAF96Gag=")</f>
        <v>#VALUE!</v>
      </c>
      <c r="FN7" t="e">
        <f>AND(Data!Y43,"AAAAAF96Gak=")</f>
        <v>#VALUE!</v>
      </c>
      <c r="FO7" t="e">
        <f>AND(Data!Z43,"AAAAAF96Gao=")</f>
        <v>#VALUE!</v>
      </c>
      <c r="FP7" t="e">
        <f>AND(Data!AA43,"AAAAAF96Gas=")</f>
        <v>#VALUE!</v>
      </c>
      <c r="FQ7" t="e">
        <f>AND(Data!AB43,"AAAAAF96Gaw=")</f>
        <v>#VALUE!</v>
      </c>
      <c r="FR7" t="e">
        <f>AND(Data!AC43,"AAAAAF96Ga0=")</f>
        <v>#VALUE!</v>
      </c>
      <c r="FS7" t="e">
        <f>AND(Data!#REF!,"AAAAAF96Ga4=")</f>
        <v>#REF!</v>
      </c>
      <c r="FT7" t="e">
        <f>AND(Data!#REF!,"AAAAAF96Ga8=")</f>
        <v>#REF!</v>
      </c>
      <c r="FU7" t="e">
        <f>AND(Data!#REF!,"AAAAAF96GbA=")</f>
        <v>#REF!</v>
      </c>
      <c r="FV7" t="e">
        <f>AND(Data!#REF!,"AAAAAF96GbE=")</f>
        <v>#REF!</v>
      </c>
      <c r="FW7" t="e">
        <f>AND(Data!#REF!,"AAAAAF96GbI=")</f>
        <v>#REF!</v>
      </c>
      <c r="FX7" t="e">
        <f>AND(Data!#REF!,"AAAAAF96GbM=")</f>
        <v>#REF!</v>
      </c>
      <c r="FY7" t="e">
        <f>AND(Data!#REF!,"AAAAAF96GbQ=")</f>
        <v>#REF!</v>
      </c>
      <c r="FZ7" t="e">
        <f>AND(Data!#REF!,"AAAAAF96GbU=")</f>
        <v>#REF!</v>
      </c>
      <c r="GA7" t="e">
        <f>AND(Data!#REF!,"AAAAAF96GbY=")</f>
        <v>#REF!</v>
      </c>
      <c r="GB7" t="e">
        <f>AND(Data!#REF!,"AAAAAF96Gbc=")</f>
        <v>#REF!</v>
      </c>
      <c r="GC7">
        <f>IF(Data!44:44,"AAAAAF96Gbg=",0)</f>
        <v>0</v>
      </c>
      <c r="GD7" t="e">
        <f>AND(Data!A44,"AAAAAF96Gbk=")</f>
        <v>#VALUE!</v>
      </c>
      <c r="GE7" t="e">
        <f>AND(Data!B44,"AAAAAF96Gbo=")</f>
        <v>#VALUE!</v>
      </c>
      <c r="GF7" t="e">
        <f>AND(Data!C44,"AAAAAF96Gbs=")</f>
        <v>#VALUE!</v>
      </c>
      <c r="GG7" t="e">
        <f>AND(Data!D44,"AAAAAF96Gbw=")</f>
        <v>#VALUE!</v>
      </c>
      <c r="GH7" t="e">
        <f>AND(Data!E44,"AAAAAF96Gb0=")</f>
        <v>#VALUE!</v>
      </c>
      <c r="GI7" t="e">
        <f>AND(Data!F44,"AAAAAF96Gb4=")</f>
        <v>#VALUE!</v>
      </c>
      <c r="GJ7" t="e">
        <f>AND(Data!G44,"AAAAAF96Gb8=")</f>
        <v>#VALUE!</v>
      </c>
      <c r="GK7" t="e">
        <f>AND(Data!H44,"AAAAAF96GcA=")</f>
        <v>#VALUE!</v>
      </c>
      <c r="GL7" t="e">
        <f>AND(Data!I44,"AAAAAF96GcE=")</f>
        <v>#VALUE!</v>
      </c>
      <c r="GM7" t="e">
        <f>AND(Data!J44,"AAAAAF96GcI=")</f>
        <v>#VALUE!</v>
      </c>
      <c r="GN7" t="e">
        <f>AND(Data!K44,"AAAAAF96GcM=")</f>
        <v>#VALUE!</v>
      </c>
      <c r="GO7" t="e">
        <f>AND(Data!L44,"AAAAAF96GcQ=")</f>
        <v>#VALUE!</v>
      </c>
      <c r="GP7" t="e">
        <f>AND(Data!M44,"AAAAAF96GcU=")</f>
        <v>#VALUE!</v>
      </c>
      <c r="GQ7" t="e">
        <f>AND(Data!N44,"AAAAAF96GcY=")</f>
        <v>#VALUE!</v>
      </c>
      <c r="GR7" t="e">
        <f>AND(Data!O44,"AAAAAF96Gcc=")</f>
        <v>#VALUE!</v>
      </c>
      <c r="GS7" t="e">
        <f>AND(Data!P44,"AAAAAF96Gcg=")</f>
        <v>#VALUE!</v>
      </c>
      <c r="GT7" t="e">
        <f>AND(Data!Q44,"AAAAAF96Gck=")</f>
        <v>#VALUE!</v>
      </c>
      <c r="GU7" t="e">
        <f>AND(Data!R44,"AAAAAF96Gco=")</f>
        <v>#VALUE!</v>
      </c>
      <c r="GV7" t="e">
        <f>AND(Data!S44,"AAAAAF96Gcs=")</f>
        <v>#VALUE!</v>
      </c>
      <c r="GW7" t="e">
        <f>AND(Data!T44,"AAAAAF96Gcw=")</f>
        <v>#VALUE!</v>
      </c>
      <c r="GX7" t="e">
        <f>AND(Data!U44,"AAAAAF96Gc0=")</f>
        <v>#VALUE!</v>
      </c>
      <c r="GY7" t="e">
        <f>AND(Data!V44,"AAAAAF96Gc4=")</f>
        <v>#VALUE!</v>
      </c>
      <c r="GZ7" t="e">
        <f>AND(Data!W44,"AAAAAF96Gc8=")</f>
        <v>#VALUE!</v>
      </c>
      <c r="HA7" t="e">
        <f>AND(Data!X44,"AAAAAF96GdA=")</f>
        <v>#VALUE!</v>
      </c>
      <c r="HB7" t="e">
        <f>AND(Data!Y44,"AAAAAF96GdE=")</f>
        <v>#VALUE!</v>
      </c>
      <c r="HC7" t="e">
        <f>AND(Data!Z44,"AAAAAF96GdI=")</f>
        <v>#VALUE!</v>
      </c>
      <c r="HD7" t="e">
        <f>AND(Data!AA44,"AAAAAF96GdM=")</f>
        <v>#VALUE!</v>
      </c>
      <c r="HE7" t="e">
        <f>AND(Data!AB44,"AAAAAF96GdQ=")</f>
        <v>#VALUE!</v>
      </c>
      <c r="HF7" t="e">
        <f>AND(Data!AC44,"AAAAAF96GdU=")</f>
        <v>#VALUE!</v>
      </c>
      <c r="HG7" t="e">
        <f>AND(Data!#REF!,"AAAAAF96GdY=")</f>
        <v>#REF!</v>
      </c>
      <c r="HH7" t="e">
        <f>AND(Data!#REF!,"AAAAAF96Gdc=")</f>
        <v>#REF!</v>
      </c>
      <c r="HI7" t="e">
        <f>AND(Data!#REF!,"AAAAAF96Gdg=")</f>
        <v>#REF!</v>
      </c>
      <c r="HJ7" t="e">
        <f>AND(Data!#REF!,"AAAAAF96Gdk=")</f>
        <v>#REF!</v>
      </c>
      <c r="HK7" t="e">
        <f>AND(Data!#REF!,"AAAAAF96Gdo=")</f>
        <v>#REF!</v>
      </c>
      <c r="HL7" t="e">
        <f>AND(Data!#REF!,"AAAAAF96Gds=")</f>
        <v>#REF!</v>
      </c>
      <c r="HM7" t="e">
        <f>AND(Data!#REF!,"AAAAAF96Gdw=")</f>
        <v>#REF!</v>
      </c>
      <c r="HN7" t="e">
        <f>AND(Data!#REF!,"AAAAAF96Gd0=")</f>
        <v>#REF!</v>
      </c>
      <c r="HO7" t="e">
        <f>AND(Data!#REF!,"AAAAAF96Gd4=")</f>
        <v>#REF!</v>
      </c>
      <c r="HP7" t="e">
        <f>AND(Data!#REF!,"AAAAAF96Gd8=")</f>
        <v>#REF!</v>
      </c>
      <c r="HQ7">
        <f>IF(Data!45:45,"AAAAAF96GeA=",0)</f>
        <v>0</v>
      </c>
      <c r="HR7" t="e">
        <f>AND(Data!A45,"AAAAAF96GeE=")</f>
        <v>#VALUE!</v>
      </c>
      <c r="HS7" t="e">
        <f>AND(Data!B45,"AAAAAF96GeI=")</f>
        <v>#VALUE!</v>
      </c>
      <c r="HT7" t="e">
        <f>AND(Data!C45,"AAAAAF96GeM=")</f>
        <v>#VALUE!</v>
      </c>
      <c r="HU7" t="e">
        <f>AND(Data!D45,"AAAAAF96GeQ=")</f>
        <v>#VALUE!</v>
      </c>
      <c r="HV7" t="e">
        <f>AND(Data!E45,"AAAAAF96GeU=")</f>
        <v>#VALUE!</v>
      </c>
      <c r="HW7" t="e">
        <f>AND(Data!F45,"AAAAAF96GeY=")</f>
        <v>#VALUE!</v>
      </c>
      <c r="HX7" t="e">
        <f>AND(Data!G45,"AAAAAF96Gec=")</f>
        <v>#VALUE!</v>
      </c>
      <c r="HY7" t="e">
        <f>AND(Data!H45,"AAAAAF96Geg=")</f>
        <v>#VALUE!</v>
      </c>
      <c r="HZ7" t="e">
        <f>AND(Data!I45,"AAAAAF96Gek=")</f>
        <v>#VALUE!</v>
      </c>
      <c r="IA7" t="e">
        <f>AND(Data!J45,"AAAAAF96Geo=")</f>
        <v>#VALUE!</v>
      </c>
      <c r="IB7" t="e">
        <f>AND(Data!K45,"AAAAAF96Ges=")</f>
        <v>#VALUE!</v>
      </c>
      <c r="IC7" t="e">
        <f>AND(Data!L45,"AAAAAF96Gew=")</f>
        <v>#VALUE!</v>
      </c>
      <c r="ID7" t="e">
        <f>AND(Data!M45,"AAAAAF96Ge0=")</f>
        <v>#VALUE!</v>
      </c>
      <c r="IE7" t="e">
        <f>AND(Data!N45,"AAAAAF96Ge4=")</f>
        <v>#VALUE!</v>
      </c>
      <c r="IF7" t="e">
        <f>AND(Data!O45,"AAAAAF96Ge8=")</f>
        <v>#VALUE!</v>
      </c>
      <c r="IG7" t="e">
        <f>AND(Data!P45,"AAAAAF96GfA=")</f>
        <v>#VALUE!</v>
      </c>
      <c r="IH7" t="e">
        <f>AND(Data!Q45,"AAAAAF96GfE=")</f>
        <v>#VALUE!</v>
      </c>
      <c r="II7" t="e">
        <f>AND(Data!R45,"AAAAAF96GfI=")</f>
        <v>#VALUE!</v>
      </c>
      <c r="IJ7" t="e">
        <f>AND(Data!S45,"AAAAAF96GfM=")</f>
        <v>#VALUE!</v>
      </c>
      <c r="IK7" t="e">
        <f>AND(Data!T45,"AAAAAF96GfQ=")</f>
        <v>#VALUE!</v>
      </c>
      <c r="IL7" t="e">
        <f>AND(Data!U45,"AAAAAF96GfU=")</f>
        <v>#VALUE!</v>
      </c>
      <c r="IM7" t="e">
        <f>AND(Data!V45,"AAAAAF96GfY=")</f>
        <v>#VALUE!</v>
      </c>
      <c r="IN7" t="e">
        <f>AND(Data!W45,"AAAAAF96Gfc=")</f>
        <v>#VALUE!</v>
      </c>
      <c r="IO7" t="e">
        <f>AND(Data!X45,"AAAAAF96Gfg=")</f>
        <v>#VALUE!</v>
      </c>
      <c r="IP7" t="e">
        <f>AND(Data!Y45,"AAAAAF96Gfk=")</f>
        <v>#VALUE!</v>
      </c>
      <c r="IQ7" t="e">
        <f>AND(Data!Z45,"AAAAAF96Gfo=")</f>
        <v>#VALUE!</v>
      </c>
      <c r="IR7" t="e">
        <f>AND(Data!AA45,"AAAAAF96Gfs=")</f>
        <v>#VALUE!</v>
      </c>
      <c r="IS7" t="e">
        <f>AND(Data!AB45,"AAAAAF96Gfw=")</f>
        <v>#VALUE!</v>
      </c>
      <c r="IT7" t="e">
        <f>AND(Data!AC45,"AAAAAF96Gf0=")</f>
        <v>#VALUE!</v>
      </c>
      <c r="IU7" t="e">
        <f>AND(Data!#REF!,"AAAAAF96Gf4=")</f>
        <v>#REF!</v>
      </c>
      <c r="IV7" t="e">
        <f>AND(Data!#REF!,"AAAAAF96Gf8=")</f>
        <v>#REF!</v>
      </c>
    </row>
    <row r="8" spans="1:256" ht="12.75">
      <c r="A8" t="e">
        <f>AND(Data!#REF!,"AAAAADmfpwA=")</f>
        <v>#REF!</v>
      </c>
      <c r="B8" t="e">
        <f>AND(Data!#REF!,"AAAAADmfpwE=")</f>
        <v>#REF!</v>
      </c>
      <c r="C8" t="e">
        <f>AND(Data!#REF!,"AAAAADmfpwI=")</f>
        <v>#REF!</v>
      </c>
      <c r="D8" t="e">
        <f>AND(Data!#REF!,"AAAAADmfpwM=")</f>
        <v>#REF!</v>
      </c>
      <c r="E8" t="e">
        <f>AND(Data!#REF!,"AAAAADmfpwQ=")</f>
        <v>#REF!</v>
      </c>
      <c r="F8" t="e">
        <f>AND(Data!#REF!,"AAAAADmfpwU=")</f>
        <v>#REF!</v>
      </c>
      <c r="G8" t="e">
        <f>AND(Data!#REF!,"AAAAADmfpwY=")</f>
        <v>#REF!</v>
      </c>
      <c r="H8" t="e">
        <f>AND(Data!#REF!,"AAAAADmfpwc=")</f>
        <v>#REF!</v>
      </c>
      <c r="I8" t="str">
        <f>IF(Data!46:46,"AAAAADmfpwg=",0)</f>
        <v>AAAAADmfpwg=</v>
      </c>
      <c r="J8" t="e">
        <f>AND(Data!A46,"AAAAADmfpwk=")</f>
        <v>#VALUE!</v>
      </c>
      <c r="K8" t="e">
        <f>AND(Data!B46,"AAAAADmfpwo=")</f>
        <v>#VALUE!</v>
      </c>
      <c r="L8" t="e">
        <f>AND(Data!C46,"AAAAADmfpws=")</f>
        <v>#VALUE!</v>
      </c>
      <c r="M8" t="e">
        <f>AND(Data!D46,"AAAAADmfpww=")</f>
        <v>#VALUE!</v>
      </c>
      <c r="N8" t="e">
        <f>AND(Data!E46,"AAAAADmfpw0=")</f>
        <v>#VALUE!</v>
      </c>
      <c r="O8" t="e">
        <f>AND(Data!F46,"AAAAADmfpw4=")</f>
        <v>#VALUE!</v>
      </c>
      <c r="P8" t="e">
        <f>AND(Data!G46,"AAAAADmfpw8=")</f>
        <v>#VALUE!</v>
      </c>
      <c r="Q8" t="e">
        <f>AND(Data!H46,"AAAAADmfpxA=")</f>
        <v>#VALUE!</v>
      </c>
      <c r="R8" t="e">
        <f>AND(Data!I46,"AAAAADmfpxE=")</f>
        <v>#VALUE!</v>
      </c>
      <c r="S8" t="e">
        <f>AND(Data!J46,"AAAAADmfpxI=")</f>
        <v>#VALUE!</v>
      </c>
      <c r="T8" t="e">
        <f>AND(Data!K46,"AAAAADmfpxM=")</f>
        <v>#VALUE!</v>
      </c>
      <c r="U8" t="e">
        <f>AND(Data!L46,"AAAAADmfpxQ=")</f>
        <v>#VALUE!</v>
      </c>
      <c r="V8" t="e">
        <f>AND(Data!M46,"AAAAADmfpxU=")</f>
        <v>#VALUE!</v>
      </c>
      <c r="W8" t="e">
        <f>AND(Data!N46,"AAAAADmfpxY=")</f>
        <v>#VALUE!</v>
      </c>
      <c r="X8" t="e">
        <f>AND(Data!O46,"AAAAADmfpxc=")</f>
        <v>#VALUE!</v>
      </c>
      <c r="Y8" t="e">
        <f>AND(Data!P46,"AAAAADmfpxg=")</f>
        <v>#VALUE!</v>
      </c>
      <c r="Z8" t="e">
        <f>AND(Data!Q46,"AAAAADmfpxk=")</f>
        <v>#VALUE!</v>
      </c>
      <c r="AA8" t="e">
        <f>AND(Data!R46,"AAAAADmfpxo=")</f>
        <v>#VALUE!</v>
      </c>
      <c r="AB8" t="e">
        <f>AND(Data!S46,"AAAAADmfpxs=")</f>
        <v>#VALUE!</v>
      </c>
      <c r="AC8" t="e">
        <f>AND(Data!T46,"AAAAADmfpxw=")</f>
        <v>#VALUE!</v>
      </c>
      <c r="AD8" t="e">
        <f>AND(Data!U46,"AAAAADmfpx0=")</f>
        <v>#VALUE!</v>
      </c>
      <c r="AE8" t="e">
        <f>AND(Data!V46,"AAAAADmfpx4=")</f>
        <v>#VALUE!</v>
      </c>
      <c r="AF8" t="e">
        <f>AND(Data!W46,"AAAAADmfpx8=")</f>
        <v>#VALUE!</v>
      </c>
      <c r="AG8" t="e">
        <f>AND(Data!X46,"AAAAADmfpyA=")</f>
        <v>#VALUE!</v>
      </c>
      <c r="AH8" t="e">
        <f>AND(Data!Y46,"AAAAADmfpyE=")</f>
        <v>#VALUE!</v>
      </c>
      <c r="AI8" t="e">
        <f>AND(Data!Z46,"AAAAADmfpyI=")</f>
        <v>#VALUE!</v>
      </c>
      <c r="AJ8" t="e">
        <f>AND(Data!AA46,"AAAAADmfpyM=")</f>
        <v>#VALUE!</v>
      </c>
      <c r="AK8" t="e">
        <f>AND(Data!AB46,"AAAAADmfpyQ=")</f>
        <v>#VALUE!</v>
      </c>
      <c r="AL8" t="e">
        <f>AND(Data!AC46,"AAAAADmfpyU=")</f>
        <v>#VALUE!</v>
      </c>
      <c r="AM8" t="e">
        <f>AND(Data!#REF!,"AAAAADmfpyY=")</f>
        <v>#REF!</v>
      </c>
      <c r="AN8" t="e">
        <f>AND(Data!#REF!,"AAAAADmfpyc=")</f>
        <v>#REF!</v>
      </c>
      <c r="AO8" t="e">
        <f>AND(Data!#REF!,"AAAAADmfpyg=")</f>
        <v>#REF!</v>
      </c>
      <c r="AP8" t="e">
        <f>AND(Data!#REF!,"AAAAADmfpyk=")</f>
        <v>#REF!</v>
      </c>
      <c r="AQ8" t="e">
        <f>AND(Data!#REF!,"AAAAADmfpyo=")</f>
        <v>#REF!</v>
      </c>
      <c r="AR8" t="e">
        <f>AND(Data!#REF!,"AAAAADmfpys=")</f>
        <v>#REF!</v>
      </c>
      <c r="AS8" t="e">
        <f>AND(Data!#REF!,"AAAAADmfpyw=")</f>
        <v>#REF!</v>
      </c>
      <c r="AT8" t="e">
        <f>AND(Data!#REF!,"AAAAADmfpy0=")</f>
        <v>#REF!</v>
      </c>
      <c r="AU8" t="e">
        <f>AND(Data!#REF!,"AAAAADmfpy4=")</f>
        <v>#REF!</v>
      </c>
      <c r="AV8" t="e">
        <f>AND(Data!#REF!,"AAAAADmfpy8=")</f>
        <v>#REF!</v>
      </c>
      <c r="AW8">
        <f>IF(Data!47:47,"AAAAADmfpzA=",0)</f>
        <v>0</v>
      </c>
      <c r="AX8" t="e">
        <f>AND(Data!A47,"AAAAADmfpzE=")</f>
        <v>#VALUE!</v>
      </c>
      <c r="AY8" t="e">
        <f>AND(Data!B47,"AAAAADmfpzI=")</f>
        <v>#VALUE!</v>
      </c>
      <c r="AZ8" t="e">
        <f>AND(Data!C47,"AAAAADmfpzM=")</f>
        <v>#VALUE!</v>
      </c>
      <c r="BA8" t="e">
        <f>AND(Data!D47,"AAAAADmfpzQ=")</f>
        <v>#VALUE!</v>
      </c>
      <c r="BB8" t="e">
        <f>AND(Data!E47,"AAAAADmfpzU=")</f>
        <v>#VALUE!</v>
      </c>
      <c r="BC8" t="e">
        <f>AND(Data!F47,"AAAAADmfpzY=")</f>
        <v>#VALUE!</v>
      </c>
      <c r="BD8" t="e">
        <f>AND(Data!G47,"AAAAADmfpzc=")</f>
        <v>#VALUE!</v>
      </c>
      <c r="BE8" t="e">
        <f>AND(Data!H47,"AAAAADmfpzg=")</f>
        <v>#VALUE!</v>
      </c>
      <c r="BF8" t="e">
        <f>AND(Data!I47,"AAAAADmfpzk=")</f>
        <v>#VALUE!</v>
      </c>
      <c r="BG8" t="e">
        <f>AND(Data!J47,"AAAAADmfpzo=")</f>
        <v>#VALUE!</v>
      </c>
      <c r="BH8" t="e">
        <f>AND(Data!K47,"AAAAADmfpzs=")</f>
        <v>#VALUE!</v>
      </c>
      <c r="BI8" t="e">
        <f>AND(Data!L47,"AAAAADmfpzw=")</f>
        <v>#VALUE!</v>
      </c>
      <c r="BJ8" t="e">
        <f>AND(Data!M47,"AAAAADmfpz0=")</f>
        <v>#VALUE!</v>
      </c>
      <c r="BK8" t="e">
        <f>AND(Data!N47,"AAAAADmfpz4=")</f>
        <v>#VALUE!</v>
      </c>
      <c r="BL8" t="e">
        <f>AND(Data!O47,"AAAAADmfpz8=")</f>
        <v>#VALUE!</v>
      </c>
      <c r="BM8" t="e">
        <f>AND(Data!P47,"AAAAADmfp0A=")</f>
        <v>#VALUE!</v>
      </c>
      <c r="BN8" t="e">
        <f>AND(Data!Q47,"AAAAADmfp0E=")</f>
        <v>#VALUE!</v>
      </c>
      <c r="BO8" t="e">
        <f>AND(Data!R47,"AAAAADmfp0I=")</f>
        <v>#VALUE!</v>
      </c>
      <c r="BP8" t="e">
        <f>AND(Data!S47,"AAAAADmfp0M=")</f>
        <v>#VALUE!</v>
      </c>
      <c r="BQ8" t="e">
        <f>AND(Data!T47,"AAAAADmfp0Q=")</f>
        <v>#VALUE!</v>
      </c>
      <c r="BR8" t="e">
        <f>AND(Data!U47,"AAAAADmfp0U=")</f>
        <v>#VALUE!</v>
      </c>
      <c r="BS8" t="e">
        <f>AND(Data!V47,"AAAAADmfp0Y=")</f>
        <v>#VALUE!</v>
      </c>
      <c r="BT8" t="e">
        <f>AND(Data!W47,"AAAAADmfp0c=")</f>
        <v>#VALUE!</v>
      </c>
      <c r="BU8" t="e">
        <f>AND(Data!X47,"AAAAADmfp0g=")</f>
        <v>#VALUE!</v>
      </c>
      <c r="BV8" t="e">
        <f>AND(Data!Y47,"AAAAADmfp0k=")</f>
        <v>#VALUE!</v>
      </c>
      <c r="BW8" t="e">
        <f>AND(Data!Z47,"AAAAADmfp0o=")</f>
        <v>#VALUE!</v>
      </c>
      <c r="BX8" t="e">
        <f>AND(Data!AA47,"AAAAADmfp0s=")</f>
        <v>#VALUE!</v>
      </c>
      <c r="BY8" t="e">
        <f>AND(Data!AB47,"AAAAADmfp0w=")</f>
        <v>#VALUE!</v>
      </c>
      <c r="BZ8" t="e">
        <f>AND(Data!AC47,"AAAAADmfp00=")</f>
        <v>#VALUE!</v>
      </c>
      <c r="CA8" t="e">
        <f>AND(Data!#REF!,"AAAAADmfp04=")</f>
        <v>#REF!</v>
      </c>
      <c r="CB8" t="e">
        <f>AND(Data!#REF!,"AAAAADmfp08=")</f>
        <v>#REF!</v>
      </c>
      <c r="CC8" t="e">
        <f>AND(Data!#REF!,"AAAAADmfp1A=")</f>
        <v>#REF!</v>
      </c>
      <c r="CD8" t="e">
        <f>AND(Data!#REF!,"AAAAADmfp1E=")</f>
        <v>#REF!</v>
      </c>
      <c r="CE8" t="e">
        <f>AND(Data!#REF!,"AAAAADmfp1I=")</f>
        <v>#REF!</v>
      </c>
      <c r="CF8" t="e">
        <f>AND(Data!#REF!,"AAAAADmfp1M=")</f>
        <v>#REF!</v>
      </c>
      <c r="CG8" t="e">
        <f>AND(Data!#REF!,"AAAAADmfp1Q=")</f>
        <v>#REF!</v>
      </c>
      <c r="CH8" t="e">
        <f>AND(Data!#REF!,"AAAAADmfp1U=")</f>
        <v>#REF!</v>
      </c>
      <c r="CI8" t="e">
        <f>AND(Data!#REF!,"AAAAADmfp1Y=")</f>
        <v>#REF!</v>
      </c>
      <c r="CJ8" t="e">
        <f>AND(Data!#REF!,"AAAAADmfp1c=")</f>
        <v>#REF!</v>
      </c>
      <c r="CK8">
        <f>IF(Data!48:48,"AAAAADmfp1g=",0)</f>
        <v>0</v>
      </c>
      <c r="CL8" t="e">
        <f>AND(Data!A48,"AAAAADmfp1k=")</f>
        <v>#VALUE!</v>
      </c>
      <c r="CM8" t="e">
        <f>AND(Data!B48,"AAAAADmfp1o=")</f>
        <v>#VALUE!</v>
      </c>
      <c r="CN8" t="e">
        <f>AND(Data!C48,"AAAAADmfp1s=")</f>
        <v>#VALUE!</v>
      </c>
      <c r="CO8" t="e">
        <f>AND(Data!D48,"AAAAADmfp1w=")</f>
        <v>#VALUE!</v>
      </c>
      <c r="CP8" t="e">
        <f>AND(Data!E48,"AAAAADmfp10=")</f>
        <v>#VALUE!</v>
      </c>
      <c r="CQ8" t="e">
        <f>AND(Data!F48,"AAAAADmfp14=")</f>
        <v>#VALUE!</v>
      </c>
      <c r="CR8" t="e">
        <f>AND(Data!G48,"AAAAADmfp18=")</f>
        <v>#VALUE!</v>
      </c>
      <c r="CS8" t="e">
        <f>AND(Data!H48,"AAAAADmfp2A=")</f>
        <v>#VALUE!</v>
      </c>
      <c r="CT8" t="e">
        <f>AND(Data!I48,"AAAAADmfp2E=")</f>
        <v>#VALUE!</v>
      </c>
      <c r="CU8" t="e">
        <f>AND(Data!J48,"AAAAADmfp2I=")</f>
        <v>#VALUE!</v>
      </c>
      <c r="CV8" t="e">
        <f>AND(Data!K48,"AAAAADmfp2M=")</f>
        <v>#VALUE!</v>
      </c>
      <c r="CW8" t="e">
        <f>AND(Data!L48,"AAAAADmfp2Q=")</f>
        <v>#VALUE!</v>
      </c>
      <c r="CX8" t="e">
        <f>AND(Data!M48,"AAAAADmfp2U=")</f>
        <v>#VALUE!</v>
      </c>
      <c r="CY8" t="e">
        <f>AND(Data!N48,"AAAAADmfp2Y=")</f>
        <v>#VALUE!</v>
      </c>
      <c r="CZ8" t="e">
        <f>AND(Data!O48,"AAAAADmfp2c=")</f>
        <v>#VALUE!</v>
      </c>
      <c r="DA8" t="e">
        <f>AND(Data!P48,"AAAAADmfp2g=")</f>
        <v>#VALUE!</v>
      </c>
      <c r="DB8" t="e">
        <f>AND(Data!Q48,"AAAAADmfp2k=")</f>
        <v>#VALUE!</v>
      </c>
      <c r="DC8" t="e">
        <f>AND(Data!R48,"AAAAADmfp2o=")</f>
        <v>#VALUE!</v>
      </c>
      <c r="DD8" t="e">
        <f>AND(Data!S48,"AAAAADmfp2s=")</f>
        <v>#VALUE!</v>
      </c>
      <c r="DE8" t="e">
        <f>AND(Data!T48,"AAAAADmfp2w=")</f>
        <v>#VALUE!</v>
      </c>
      <c r="DF8" t="e">
        <f>AND(Data!U48,"AAAAADmfp20=")</f>
        <v>#VALUE!</v>
      </c>
      <c r="DG8" t="e">
        <f>AND(Data!V48,"AAAAADmfp24=")</f>
        <v>#VALUE!</v>
      </c>
      <c r="DH8" t="e">
        <f>AND(Data!W48,"AAAAADmfp28=")</f>
        <v>#VALUE!</v>
      </c>
      <c r="DI8" t="e">
        <f>AND(Data!X48,"AAAAADmfp3A=")</f>
        <v>#VALUE!</v>
      </c>
      <c r="DJ8" t="e">
        <f>AND(Data!Y48,"AAAAADmfp3E=")</f>
        <v>#VALUE!</v>
      </c>
      <c r="DK8" t="e">
        <f>AND(Data!Z48,"AAAAADmfp3I=")</f>
        <v>#VALUE!</v>
      </c>
      <c r="DL8" t="e">
        <f>AND(Data!AA48,"AAAAADmfp3M=")</f>
        <v>#VALUE!</v>
      </c>
      <c r="DM8" t="e">
        <f>AND(Data!AB48,"AAAAADmfp3Q=")</f>
        <v>#VALUE!</v>
      </c>
      <c r="DN8" t="e">
        <f>AND(Data!AC48,"AAAAADmfp3U=")</f>
        <v>#VALUE!</v>
      </c>
      <c r="DO8" t="e">
        <f>AND(Data!#REF!,"AAAAADmfp3Y=")</f>
        <v>#REF!</v>
      </c>
      <c r="DP8" t="e">
        <f>AND(Data!#REF!,"AAAAADmfp3c=")</f>
        <v>#REF!</v>
      </c>
      <c r="DQ8" t="e">
        <f>AND(Data!#REF!,"AAAAADmfp3g=")</f>
        <v>#REF!</v>
      </c>
      <c r="DR8" t="e">
        <f>AND(Data!#REF!,"AAAAADmfp3k=")</f>
        <v>#REF!</v>
      </c>
      <c r="DS8" t="e">
        <f>AND(Data!#REF!,"AAAAADmfp3o=")</f>
        <v>#REF!</v>
      </c>
      <c r="DT8" t="e">
        <f>AND(Data!#REF!,"AAAAADmfp3s=")</f>
        <v>#REF!</v>
      </c>
      <c r="DU8" t="e">
        <f>AND(Data!#REF!,"AAAAADmfp3w=")</f>
        <v>#REF!</v>
      </c>
      <c r="DV8" t="e">
        <f>AND(Data!#REF!,"AAAAADmfp30=")</f>
        <v>#REF!</v>
      </c>
      <c r="DW8" t="e">
        <f>AND(Data!#REF!,"AAAAADmfp34=")</f>
        <v>#REF!</v>
      </c>
      <c r="DX8" t="e">
        <f>AND(Data!#REF!,"AAAAADmfp38=")</f>
        <v>#REF!</v>
      </c>
      <c r="DY8">
        <f>IF(Data!49:49,"AAAAADmfp4A=",0)</f>
        <v>0</v>
      </c>
      <c r="DZ8" t="e">
        <f>AND(Data!A49,"AAAAADmfp4E=")</f>
        <v>#VALUE!</v>
      </c>
      <c r="EA8" t="e">
        <f>AND(Data!B49,"AAAAADmfp4I=")</f>
        <v>#VALUE!</v>
      </c>
      <c r="EB8" t="e">
        <f>AND(Data!C49,"AAAAADmfp4M=")</f>
        <v>#VALUE!</v>
      </c>
      <c r="EC8" t="e">
        <f>AND(Data!D49,"AAAAADmfp4Q=")</f>
        <v>#VALUE!</v>
      </c>
      <c r="ED8" t="e">
        <f>AND(Data!E49,"AAAAADmfp4U=")</f>
        <v>#VALUE!</v>
      </c>
      <c r="EE8" t="e">
        <f>AND(Data!F49,"AAAAADmfp4Y=")</f>
        <v>#VALUE!</v>
      </c>
      <c r="EF8" t="e">
        <f>AND(Data!G49,"AAAAADmfp4c=")</f>
        <v>#VALUE!</v>
      </c>
      <c r="EG8" t="e">
        <f>AND(Data!H49,"AAAAADmfp4g=")</f>
        <v>#VALUE!</v>
      </c>
      <c r="EH8" t="e">
        <f>AND(Data!I49,"AAAAADmfp4k=")</f>
        <v>#VALUE!</v>
      </c>
      <c r="EI8" t="e">
        <f>AND(Data!J49,"AAAAADmfp4o=")</f>
        <v>#VALUE!</v>
      </c>
      <c r="EJ8" t="e">
        <f>AND(Data!K49,"AAAAADmfp4s=")</f>
        <v>#VALUE!</v>
      </c>
      <c r="EK8" t="e">
        <f>AND(Data!L49,"AAAAADmfp4w=")</f>
        <v>#VALUE!</v>
      </c>
      <c r="EL8" t="e">
        <f>AND(Data!M49,"AAAAADmfp40=")</f>
        <v>#VALUE!</v>
      </c>
      <c r="EM8" t="e">
        <f>AND(Data!N49,"AAAAADmfp44=")</f>
        <v>#VALUE!</v>
      </c>
      <c r="EN8" t="e">
        <f>AND(Data!O49,"AAAAADmfp48=")</f>
        <v>#VALUE!</v>
      </c>
      <c r="EO8" t="e">
        <f>AND(Data!P49,"AAAAADmfp5A=")</f>
        <v>#VALUE!</v>
      </c>
      <c r="EP8" t="e">
        <f>AND(Data!Q49,"AAAAADmfp5E=")</f>
        <v>#VALUE!</v>
      </c>
      <c r="EQ8" t="e">
        <f>AND(Data!R49,"AAAAADmfp5I=")</f>
        <v>#VALUE!</v>
      </c>
      <c r="ER8" t="e">
        <f>AND(Data!S49,"AAAAADmfp5M=")</f>
        <v>#VALUE!</v>
      </c>
      <c r="ES8" t="e">
        <f>AND(Data!T49,"AAAAADmfp5Q=")</f>
        <v>#VALUE!</v>
      </c>
      <c r="ET8" t="e">
        <f>AND(Data!U49,"AAAAADmfp5U=")</f>
        <v>#VALUE!</v>
      </c>
      <c r="EU8" t="e">
        <f>AND(Data!V49,"AAAAADmfp5Y=")</f>
        <v>#VALUE!</v>
      </c>
      <c r="EV8" t="e">
        <f>AND(Data!W49,"AAAAADmfp5c=")</f>
        <v>#VALUE!</v>
      </c>
      <c r="EW8" t="e">
        <f>AND(Data!X49,"AAAAADmfp5g=")</f>
        <v>#VALUE!</v>
      </c>
      <c r="EX8" t="e">
        <f>AND(Data!Y49,"AAAAADmfp5k=")</f>
        <v>#VALUE!</v>
      </c>
      <c r="EY8" t="e">
        <f>AND(Data!Z49,"AAAAADmfp5o=")</f>
        <v>#VALUE!</v>
      </c>
      <c r="EZ8" t="e">
        <f>AND(Data!AA49,"AAAAADmfp5s=")</f>
        <v>#VALUE!</v>
      </c>
      <c r="FA8" t="e">
        <f>AND(Data!AB49,"AAAAADmfp5w=")</f>
        <v>#VALUE!</v>
      </c>
      <c r="FB8" t="e">
        <f>AND(Data!AC49,"AAAAADmfp50=")</f>
        <v>#VALUE!</v>
      </c>
      <c r="FC8" t="e">
        <f>AND(Data!#REF!,"AAAAADmfp54=")</f>
        <v>#REF!</v>
      </c>
      <c r="FD8" t="e">
        <f>AND(Data!#REF!,"AAAAADmfp58=")</f>
        <v>#REF!</v>
      </c>
      <c r="FE8" t="e">
        <f>AND(Data!#REF!,"AAAAADmfp6A=")</f>
        <v>#REF!</v>
      </c>
      <c r="FF8" t="e">
        <f>AND(Data!#REF!,"AAAAADmfp6E=")</f>
        <v>#REF!</v>
      </c>
      <c r="FG8" t="e">
        <f>AND(Data!#REF!,"AAAAADmfp6I=")</f>
        <v>#REF!</v>
      </c>
      <c r="FH8" t="e">
        <f>AND(Data!#REF!,"AAAAADmfp6M=")</f>
        <v>#REF!</v>
      </c>
      <c r="FI8" t="e">
        <f>AND(Data!#REF!,"AAAAADmfp6Q=")</f>
        <v>#REF!</v>
      </c>
      <c r="FJ8" t="e">
        <f>AND(Data!#REF!,"AAAAADmfp6U=")</f>
        <v>#REF!</v>
      </c>
      <c r="FK8" t="e">
        <f>AND(Data!#REF!,"AAAAADmfp6Y=")</f>
        <v>#REF!</v>
      </c>
      <c r="FL8" t="e">
        <f>AND(Data!#REF!,"AAAAADmfp6c=")</f>
        <v>#REF!</v>
      </c>
      <c r="FM8">
        <f>IF(Data!50:50,"AAAAADmfp6g=",0)</f>
        <v>0</v>
      </c>
      <c r="FN8" t="e">
        <f>AND(Data!A50,"AAAAADmfp6k=")</f>
        <v>#VALUE!</v>
      </c>
      <c r="FO8" t="e">
        <f>AND(Data!B50,"AAAAADmfp6o=")</f>
        <v>#VALUE!</v>
      </c>
      <c r="FP8" t="e">
        <f>AND(Data!C50,"AAAAADmfp6s=")</f>
        <v>#VALUE!</v>
      </c>
      <c r="FQ8" t="e">
        <f>AND(Data!D50,"AAAAADmfp6w=")</f>
        <v>#VALUE!</v>
      </c>
      <c r="FR8" t="e">
        <f>AND(Data!E50,"AAAAADmfp60=")</f>
        <v>#VALUE!</v>
      </c>
      <c r="FS8" t="e">
        <f>AND(Data!F50,"AAAAADmfp64=")</f>
        <v>#VALUE!</v>
      </c>
      <c r="FT8" t="e">
        <f>AND(Data!G50,"AAAAADmfp68=")</f>
        <v>#VALUE!</v>
      </c>
      <c r="FU8" t="e">
        <f>AND(Data!H50,"AAAAADmfp7A=")</f>
        <v>#VALUE!</v>
      </c>
      <c r="FV8" t="e">
        <f>AND(Data!I50,"AAAAADmfp7E=")</f>
        <v>#VALUE!</v>
      </c>
      <c r="FW8" t="e">
        <f>AND(Data!J50,"AAAAADmfp7I=")</f>
        <v>#VALUE!</v>
      </c>
      <c r="FX8" t="e">
        <f>AND(Data!K50,"AAAAADmfp7M=")</f>
        <v>#VALUE!</v>
      </c>
      <c r="FY8" t="e">
        <f>AND(Data!L50,"AAAAADmfp7Q=")</f>
        <v>#VALUE!</v>
      </c>
      <c r="FZ8" t="e">
        <f>AND(Data!M50,"AAAAADmfp7U=")</f>
        <v>#VALUE!</v>
      </c>
      <c r="GA8" t="e">
        <f>AND(Data!N50,"AAAAADmfp7Y=")</f>
        <v>#VALUE!</v>
      </c>
      <c r="GB8" t="e">
        <f>AND(Data!O50,"AAAAADmfp7c=")</f>
        <v>#VALUE!</v>
      </c>
      <c r="GC8" t="e">
        <f>AND(Data!P50,"AAAAADmfp7g=")</f>
        <v>#VALUE!</v>
      </c>
      <c r="GD8" t="e">
        <f>AND(Data!Q50,"AAAAADmfp7k=")</f>
        <v>#VALUE!</v>
      </c>
      <c r="GE8" t="e">
        <f>AND(Data!R50,"AAAAADmfp7o=")</f>
        <v>#VALUE!</v>
      </c>
      <c r="GF8" t="e">
        <f>AND(Data!S50,"AAAAADmfp7s=")</f>
        <v>#VALUE!</v>
      </c>
      <c r="GG8" t="e">
        <f>AND(Data!T50,"AAAAADmfp7w=")</f>
        <v>#VALUE!</v>
      </c>
      <c r="GH8" t="e">
        <f>AND(Data!U50,"AAAAADmfp70=")</f>
        <v>#VALUE!</v>
      </c>
      <c r="GI8" t="e">
        <f>AND(Data!V50,"AAAAADmfp74=")</f>
        <v>#VALUE!</v>
      </c>
      <c r="GJ8" t="e">
        <f>AND(Data!W50,"AAAAADmfp78=")</f>
        <v>#VALUE!</v>
      </c>
      <c r="GK8" t="e">
        <f>AND(Data!X50,"AAAAADmfp8A=")</f>
        <v>#VALUE!</v>
      </c>
      <c r="GL8" t="e">
        <f>AND(Data!Y50,"AAAAADmfp8E=")</f>
        <v>#VALUE!</v>
      </c>
      <c r="GM8" t="e">
        <f>AND(Data!Z50,"AAAAADmfp8I=")</f>
        <v>#VALUE!</v>
      </c>
      <c r="GN8" t="e">
        <f>AND(Data!AA50,"AAAAADmfp8M=")</f>
        <v>#VALUE!</v>
      </c>
      <c r="GO8" t="e">
        <f>AND(Data!AB50,"AAAAADmfp8Q=")</f>
        <v>#VALUE!</v>
      </c>
      <c r="GP8" t="e">
        <f>AND(Data!AC50,"AAAAADmfp8U=")</f>
        <v>#VALUE!</v>
      </c>
      <c r="GQ8" t="e">
        <f>AND(Data!#REF!,"AAAAADmfp8Y=")</f>
        <v>#REF!</v>
      </c>
      <c r="GR8" t="e">
        <f>AND(Data!#REF!,"AAAAADmfp8c=")</f>
        <v>#REF!</v>
      </c>
      <c r="GS8" t="e">
        <f>AND(Data!#REF!,"AAAAADmfp8g=")</f>
        <v>#REF!</v>
      </c>
      <c r="GT8" t="e">
        <f>AND(Data!#REF!,"AAAAADmfp8k=")</f>
        <v>#REF!</v>
      </c>
      <c r="GU8" t="e">
        <f>AND(Data!#REF!,"AAAAADmfp8o=")</f>
        <v>#REF!</v>
      </c>
      <c r="GV8" t="e">
        <f>AND(Data!#REF!,"AAAAADmfp8s=")</f>
        <v>#REF!</v>
      </c>
      <c r="GW8" t="e">
        <f>AND(Data!#REF!,"AAAAADmfp8w=")</f>
        <v>#REF!</v>
      </c>
      <c r="GX8" t="e">
        <f>AND(Data!#REF!,"AAAAADmfp80=")</f>
        <v>#REF!</v>
      </c>
      <c r="GY8" t="e">
        <f>AND(Data!#REF!,"AAAAADmfp84=")</f>
        <v>#REF!</v>
      </c>
      <c r="GZ8" t="e">
        <f>AND(Data!#REF!,"AAAAADmfp88=")</f>
        <v>#REF!</v>
      </c>
      <c r="HA8">
        <f>IF(Data!51:51,"AAAAADmfp9A=",0)</f>
        <v>0</v>
      </c>
      <c r="HB8" t="e">
        <f>AND(Data!A51,"AAAAADmfp9E=")</f>
        <v>#VALUE!</v>
      </c>
      <c r="HC8" t="e">
        <f>AND(Data!B51,"AAAAADmfp9I=")</f>
        <v>#VALUE!</v>
      </c>
      <c r="HD8" t="e">
        <f>AND(Data!C51,"AAAAADmfp9M=")</f>
        <v>#VALUE!</v>
      </c>
      <c r="HE8" t="e">
        <f>AND(Data!D51,"AAAAADmfp9Q=")</f>
        <v>#VALUE!</v>
      </c>
      <c r="HF8" t="e">
        <f>AND(Data!E51,"AAAAADmfp9U=")</f>
        <v>#VALUE!</v>
      </c>
      <c r="HG8" t="e">
        <f>AND(Data!F51,"AAAAADmfp9Y=")</f>
        <v>#VALUE!</v>
      </c>
      <c r="HH8" t="e">
        <f>AND(Data!G51,"AAAAADmfp9c=")</f>
        <v>#VALUE!</v>
      </c>
      <c r="HI8" t="e">
        <f>AND(Data!H51,"AAAAADmfp9g=")</f>
        <v>#VALUE!</v>
      </c>
      <c r="HJ8" t="e">
        <f>AND(Data!I51,"AAAAADmfp9k=")</f>
        <v>#VALUE!</v>
      </c>
      <c r="HK8" t="e">
        <f>AND(Data!J51,"AAAAADmfp9o=")</f>
        <v>#VALUE!</v>
      </c>
      <c r="HL8" t="e">
        <f>AND(Data!K51,"AAAAADmfp9s=")</f>
        <v>#VALUE!</v>
      </c>
      <c r="HM8" t="e">
        <f>AND(Data!L51,"AAAAADmfp9w=")</f>
        <v>#VALUE!</v>
      </c>
      <c r="HN8" t="e">
        <f>AND(Data!M51,"AAAAADmfp90=")</f>
        <v>#VALUE!</v>
      </c>
      <c r="HO8" t="e">
        <f>AND(Data!N51,"AAAAADmfp94=")</f>
        <v>#VALUE!</v>
      </c>
      <c r="HP8" t="e">
        <f>AND(Data!O51,"AAAAADmfp98=")</f>
        <v>#VALUE!</v>
      </c>
      <c r="HQ8" t="e">
        <f>AND(Data!P51,"AAAAADmfp+A=")</f>
        <v>#VALUE!</v>
      </c>
      <c r="HR8" t="e">
        <f>AND(Data!Q51,"AAAAADmfp+E=")</f>
        <v>#VALUE!</v>
      </c>
      <c r="HS8" t="e">
        <f>AND(Data!R51,"AAAAADmfp+I=")</f>
        <v>#VALUE!</v>
      </c>
      <c r="HT8" t="e">
        <f>AND(Data!S51,"AAAAADmfp+M=")</f>
        <v>#VALUE!</v>
      </c>
      <c r="HU8" t="e">
        <f>AND(Data!T51,"AAAAADmfp+Q=")</f>
        <v>#VALUE!</v>
      </c>
      <c r="HV8" t="e">
        <f>AND(Data!U51,"AAAAADmfp+U=")</f>
        <v>#VALUE!</v>
      </c>
      <c r="HW8" t="e">
        <f>AND(Data!V51,"AAAAADmfp+Y=")</f>
        <v>#VALUE!</v>
      </c>
      <c r="HX8" t="e">
        <f>AND(Data!W51,"AAAAADmfp+c=")</f>
        <v>#VALUE!</v>
      </c>
      <c r="HY8" t="e">
        <f>AND(Data!X51,"AAAAADmfp+g=")</f>
        <v>#VALUE!</v>
      </c>
      <c r="HZ8" t="e">
        <f>AND(Data!Y51,"AAAAADmfp+k=")</f>
        <v>#VALUE!</v>
      </c>
      <c r="IA8" t="e">
        <f>AND(Data!Z51,"AAAAADmfp+o=")</f>
        <v>#VALUE!</v>
      </c>
      <c r="IB8" t="e">
        <f>AND(Data!AA51,"AAAAADmfp+s=")</f>
        <v>#VALUE!</v>
      </c>
      <c r="IC8" t="e">
        <f>AND(Data!AB51,"AAAAADmfp+w=")</f>
        <v>#VALUE!</v>
      </c>
      <c r="ID8" t="e">
        <f>AND(Data!AC51,"AAAAADmfp+0=")</f>
        <v>#VALUE!</v>
      </c>
      <c r="IE8" t="e">
        <f>AND(Data!#REF!,"AAAAADmfp+4=")</f>
        <v>#REF!</v>
      </c>
      <c r="IF8" t="e">
        <f>AND(Data!#REF!,"AAAAADmfp+8=")</f>
        <v>#REF!</v>
      </c>
      <c r="IG8" t="e">
        <f>AND(Data!#REF!,"AAAAADmfp/A=")</f>
        <v>#REF!</v>
      </c>
      <c r="IH8" t="e">
        <f>AND(Data!#REF!,"AAAAADmfp/E=")</f>
        <v>#REF!</v>
      </c>
      <c r="II8" t="e">
        <f>AND(Data!#REF!,"AAAAADmfp/I=")</f>
        <v>#REF!</v>
      </c>
      <c r="IJ8" t="e">
        <f>AND(Data!#REF!,"AAAAADmfp/M=")</f>
        <v>#REF!</v>
      </c>
      <c r="IK8" t="e">
        <f>AND(Data!#REF!,"AAAAADmfp/Q=")</f>
        <v>#REF!</v>
      </c>
      <c r="IL8" t="e">
        <f>AND(Data!#REF!,"AAAAADmfp/U=")</f>
        <v>#REF!</v>
      </c>
      <c r="IM8" t="e">
        <f>AND(Data!#REF!,"AAAAADmfp/Y=")</f>
        <v>#REF!</v>
      </c>
      <c r="IN8" t="e">
        <f>AND(Data!#REF!,"AAAAADmfp/c=")</f>
        <v>#REF!</v>
      </c>
      <c r="IO8">
        <f>IF(Data!52:52,"AAAAADmfp/g=",0)</f>
        <v>0</v>
      </c>
      <c r="IP8" t="e">
        <f>AND(Data!A52,"AAAAADmfp/k=")</f>
        <v>#VALUE!</v>
      </c>
      <c r="IQ8" t="e">
        <f>AND(Data!B52,"AAAAADmfp/o=")</f>
        <v>#VALUE!</v>
      </c>
      <c r="IR8" t="e">
        <f>AND(Data!C52,"AAAAADmfp/s=")</f>
        <v>#VALUE!</v>
      </c>
      <c r="IS8" t="e">
        <f>AND(Data!D52,"AAAAADmfp/w=")</f>
        <v>#VALUE!</v>
      </c>
      <c r="IT8" t="e">
        <f>AND(Data!E52,"AAAAADmfp/0=")</f>
        <v>#VALUE!</v>
      </c>
      <c r="IU8" t="e">
        <f>AND(Data!F52,"AAAAADmfp/4=")</f>
        <v>#VALUE!</v>
      </c>
      <c r="IV8" t="e">
        <f>AND(Data!G52,"AAAAADmfp/8=")</f>
        <v>#VALUE!</v>
      </c>
    </row>
    <row r="9" spans="1:256" ht="12.75">
      <c r="A9" t="e">
        <f>AND(Data!H52,"AAAAAF/z/gA=")</f>
        <v>#VALUE!</v>
      </c>
      <c r="B9" t="e">
        <f>AND(Data!I52,"AAAAAF/z/gE=")</f>
        <v>#VALUE!</v>
      </c>
      <c r="C9">
        <f>IF(Data!53:53,"AAAAAF/z/gI=",0)</f>
        <v>0</v>
      </c>
      <c r="D9" t="e">
        <f>AND(Data!A53,"AAAAAF/z/gM=")</f>
        <v>#VALUE!</v>
      </c>
      <c r="E9" t="e">
        <f>AND(Data!B53,"AAAAAF/z/gQ=")</f>
        <v>#VALUE!</v>
      </c>
      <c r="F9" t="e">
        <f>AND(Data!C53,"AAAAAF/z/gU=")</f>
        <v>#VALUE!</v>
      </c>
      <c r="G9" t="e">
        <f>AND(Data!D53,"AAAAAF/z/gY=")</f>
        <v>#VALUE!</v>
      </c>
      <c r="H9" t="e">
        <f>AND(Data!E53,"AAAAAF/z/gc=")</f>
        <v>#VALUE!</v>
      </c>
      <c r="I9" t="e">
        <f>AND(Data!F53,"AAAAAF/z/gg=")</f>
        <v>#VALUE!</v>
      </c>
      <c r="J9" t="e">
        <f>AND(Data!G53,"AAAAAF/z/gk=")</f>
        <v>#VALUE!</v>
      </c>
      <c r="K9" t="e">
        <f>AND(Data!H53,"AAAAAF/z/go=")</f>
        <v>#VALUE!</v>
      </c>
      <c r="L9" t="e">
        <f>AND(Data!I53,"AAAAAF/z/gs=")</f>
        <v>#VALUE!</v>
      </c>
      <c r="M9">
        <f>IF(Data!54:54,"AAAAAF/z/gw=",0)</f>
        <v>0</v>
      </c>
      <c r="N9" t="e">
        <f>AND(Data!A54,"AAAAAF/z/g0=")</f>
        <v>#VALUE!</v>
      </c>
      <c r="O9" t="e">
        <f>AND(Data!B54,"AAAAAF/z/g4=")</f>
        <v>#VALUE!</v>
      </c>
      <c r="P9" t="e">
        <f>AND(Data!C54,"AAAAAF/z/g8=")</f>
        <v>#VALUE!</v>
      </c>
      <c r="Q9" t="e">
        <f>AND(Data!D54,"AAAAAF/z/hA=")</f>
        <v>#VALUE!</v>
      </c>
      <c r="R9" t="e">
        <f>AND(Data!E54,"AAAAAF/z/hE=")</f>
        <v>#VALUE!</v>
      </c>
      <c r="S9" t="e">
        <f>AND(Data!F54,"AAAAAF/z/hI=")</f>
        <v>#VALUE!</v>
      </c>
      <c r="T9" t="e">
        <f>AND(Data!G54,"AAAAAF/z/hM=")</f>
        <v>#VALUE!</v>
      </c>
      <c r="U9" t="e">
        <f>AND(Data!H54,"AAAAAF/z/hQ=")</f>
        <v>#VALUE!</v>
      </c>
      <c r="V9" t="e">
        <f>AND(Data!I54,"AAAAAF/z/hU=")</f>
        <v>#VALUE!</v>
      </c>
      <c r="W9">
        <f>IF(Data!55:55,"AAAAAF/z/hY=",0)</f>
        <v>0</v>
      </c>
      <c r="X9" t="e">
        <f>AND(Data!A55,"AAAAAF/z/hc=")</f>
        <v>#VALUE!</v>
      </c>
      <c r="Y9" t="e">
        <f>AND(Data!B55,"AAAAAF/z/hg=")</f>
        <v>#VALUE!</v>
      </c>
      <c r="Z9" t="e">
        <f>AND(Data!C55,"AAAAAF/z/hk=")</f>
        <v>#VALUE!</v>
      </c>
      <c r="AA9" t="e">
        <f>AND(Data!D55,"AAAAAF/z/ho=")</f>
        <v>#VALUE!</v>
      </c>
      <c r="AB9" t="e">
        <f>AND(Data!E55,"AAAAAF/z/hs=")</f>
        <v>#VALUE!</v>
      </c>
      <c r="AC9" t="e">
        <f>AND(Data!F55,"AAAAAF/z/hw=")</f>
        <v>#VALUE!</v>
      </c>
      <c r="AD9" t="e">
        <f>AND(Data!G55,"AAAAAF/z/h0=")</f>
        <v>#VALUE!</v>
      </c>
      <c r="AE9" t="e">
        <f>AND(Data!H55,"AAAAAF/z/h4=")</f>
        <v>#VALUE!</v>
      </c>
      <c r="AF9" t="e">
        <f>AND(Data!I55,"AAAAAF/z/h8=")</f>
        <v>#VALUE!</v>
      </c>
      <c r="AG9">
        <f>IF(Data!56:56,"AAAAAF/z/iA=",0)</f>
        <v>0</v>
      </c>
      <c r="AH9" t="e">
        <f>AND(Data!A56,"AAAAAF/z/iE=")</f>
        <v>#VALUE!</v>
      </c>
      <c r="AI9" t="e">
        <f>AND(Data!B56,"AAAAAF/z/iI=")</f>
        <v>#VALUE!</v>
      </c>
      <c r="AJ9" t="e">
        <f>AND(Data!C56,"AAAAAF/z/iM=")</f>
        <v>#VALUE!</v>
      </c>
      <c r="AK9" t="e">
        <f>AND(Data!D56,"AAAAAF/z/iQ=")</f>
        <v>#VALUE!</v>
      </c>
      <c r="AL9" t="e">
        <f>AND(Data!E56,"AAAAAF/z/iU=")</f>
        <v>#VALUE!</v>
      </c>
      <c r="AM9" t="e">
        <f>AND(Data!F56,"AAAAAF/z/iY=")</f>
        <v>#VALUE!</v>
      </c>
      <c r="AN9" t="e">
        <f>AND(Data!G56,"AAAAAF/z/ic=")</f>
        <v>#VALUE!</v>
      </c>
      <c r="AO9" t="e">
        <f>AND(Data!H56,"AAAAAF/z/ig=")</f>
        <v>#VALUE!</v>
      </c>
      <c r="AP9" t="e">
        <f>AND(Data!I56,"AAAAAF/z/ik=")</f>
        <v>#VALUE!</v>
      </c>
      <c r="AQ9">
        <f>IF(Data!57:57,"AAAAAF/z/io=",0)</f>
        <v>0</v>
      </c>
      <c r="AR9" t="e">
        <f>AND(Data!A57,"AAAAAF/z/is=")</f>
        <v>#VALUE!</v>
      </c>
      <c r="AS9" t="e">
        <f>AND(Data!B57,"AAAAAF/z/iw=")</f>
        <v>#VALUE!</v>
      </c>
      <c r="AT9" t="e">
        <f>AND(Data!C57,"AAAAAF/z/i0=")</f>
        <v>#VALUE!</v>
      </c>
      <c r="AU9" t="e">
        <f>AND(Data!D57,"AAAAAF/z/i4=")</f>
        <v>#VALUE!</v>
      </c>
      <c r="AV9" t="e">
        <f>AND(Data!E57,"AAAAAF/z/i8=")</f>
        <v>#VALUE!</v>
      </c>
      <c r="AW9" t="e">
        <f>AND(Data!F57,"AAAAAF/z/jA=")</f>
        <v>#VALUE!</v>
      </c>
      <c r="AX9" t="e">
        <f>AND(Data!G57,"AAAAAF/z/jE=")</f>
        <v>#VALUE!</v>
      </c>
      <c r="AY9" t="e">
        <f>AND(Data!H57,"AAAAAF/z/jI=")</f>
        <v>#VALUE!</v>
      </c>
      <c r="AZ9" t="e">
        <f>AND(Data!I57,"AAAAAF/z/jM=")</f>
        <v>#VALUE!</v>
      </c>
      <c r="BA9">
        <f>IF(Data!58:58,"AAAAAF/z/jQ=",0)</f>
        <v>0</v>
      </c>
      <c r="BB9" t="e">
        <f>AND(Data!A58,"AAAAAF/z/jU=")</f>
        <v>#VALUE!</v>
      </c>
      <c r="BC9" t="e">
        <f>AND(Data!B58,"AAAAAF/z/jY=")</f>
        <v>#VALUE!</v>
      </c>
      <c r="BD9" t="e">
        <f>AND(Data!C58,"AAAAAF/z/jc=")</f>
        <v>#VALUE!</v>
      </c>
      <c r="BE9" t="e">
        <f>AND(Data!D58,"AAAAAF/z/jg=")</f>
        <v>#VALUE!</v>
      </c>
      <c r="BF9" t="e">
        <f>AND(Data!E58,"AAAAAF/z/jk=")</f>
        <v>#VALUE!</v>
      </c>
      <c r="BG9" t="e">
        <f>AND(Data!F58,"AAAAAF/z/jo=")</f>
        <v>#VALUE!</v>
      </c>
      <c r="BH9" t="e">
        <f>AND(Data!G58,"AAAAAF/z/js=")</f>
        <v>#VALUE!</v>
      </c>
      <c r="BI9" t="e">
        <f>AND(Data!H58,"AAAAAF/z/jw=")</f>
        <v>#VALUE!</v>
      </c>
      <c r="BJ9" t="e">
        <f>AND(Data!I58,"AAAAAF/z/j0=")</f>
        <v>#VALUE!</v>
      </c>
      <c r="BK9">
        <f>IF(Data!59:59,"AAAAAF/z/j4=",0)</f>
        <v>0</v>
      </c>
      <c r="BL9" t="e">
        <f>AND(Data!A59,"AAAAAF/z/j8=")</f>
        <v>#VALUE!</v>
      </c>
      <c r="BM9" t="e">
        <f>AND(Data!B59,"AAAAAF/z/kA=")</f>
        <v>#VALUE!</v>
      </c>
      <c r="BN9" t="e">
        <f>AND(Data!C59,"AAAAAF/z/kE=")</f>
        <v>#VALUE!</v>
      </c>
      <c r="BO9" t="e">
        <f>AND(Data!D59,"AAAAAF/z/kI=")</f>
        <v>#VALUE!</v>
      </c>
      <c r="BP9" t="e">
        <f>AND(Data!E59,"AAAAAF/z/kM=")</f>
        <v>#VALUE!</v>
      </c>
      <c r="BQ9" t="e">
        <f>AND(Data!F59,"AAAAAF/z/kQ=")</f>
        <v>#VALUE!</v>
      </c>
      <c r="BR9" t="e">
        <f>AND(Data!G59,"AAAAAF/z/kU=")</f>
        <v>#VALUE!</v>
      </c>
      <c r="BS9" t="e">
        <f>AND(Data!H59,"AAAAAF/z/kY=")</f>
        <v>#VALUE!</v>
      </c>
      <c r="BT9" t="e">
        <f>AND(Data!I59,"AAAAAF/z/kc=")</f>
        <v>#VALUE!</v>
      </c>
      <c r="BU9">
        <f>IF(Data!60:60,"AAAAAF/z/kg=",0)</f>
        <v>0</v>
      </c>
      <c r="BV9" t="e">
        <f>AND(Data!A60,"AAAAAF/z/kk=")</f>
        <v>#VALUE!</v>
      </c>
      <c r="BW9" t="e">
        <f>AND(Data!B60,"AAAAAF/z/ko=")</f>
        <v>#VALUE!</v>
      </c>
      <c r="BX9" t="e">
        <f>AND(Data!C60,"AAAAAF/z/ks=")</f>
        <v>#VALUE!</v>
      </c>
      <c r="BY9" t="e">
        <f>AND(Data!D60,"AAAAAF/z/kw=")</f>
        <v>#VALUE!</v>
      </c>
      <c r="BZ9" t="e">
        <f>AND(Data!E60,"AAAAAF/z/k0=")</f>
        <v>#VALUE!</v>
      </c>
      <c r="CA9" t="e">
        <f>AND(Data!F60,"AAAAAF/z/k4=")</f>
        <v>#VALUE!</v>
      </c>
      <c r="CB9" t="e">
        <f>AND(Data!G60,"AAAAAF/z/k8=")</f>
        <v>#VALUE!</v>
      </c>
      <c r="CC9" t="e">
        <f>AND(Data!H60,"AAAAAF/z/lA=")</f>
        <v>#VALUE!</v>
      </c>
      <c r="CD9" t="e">
        <f>AND(Data!I60,"AAAAAF/z/lE=")</f>
        <v>#VALUE!</v>
      </c>
      <c r="CE9">
        <f>IF(Data!61:61,"AAAAAF/z/lI=",0)</f>
        <v>0</v>
      </c>
      <c r="CF9" t="e">
        <f>AND(Data!A61,"AAAAAF/z/lM=")</f>
        <v>#VALUE!</v>
      </c>
      <c r="CG9" t="e">
        <f>AND(Data!B61,"AAAAAF/z/lQ=")</f>
        <v>#VALUE!</v>
      </c>
      <c r="CH9" t="e">
        <f>AND(Data!C61,"AAAAAF/z/lU=")</f>
        <v>#VALUE!</v>
      </c>
      <c r="CI9" t="e">
        <f>AND(Data!D61,"AAAAAF/z/lY=")</f>
        <v>#VALUE!</v>
      </c>
      <c r="CJ9" t="e">
        <f>AND(Data!E61,"AAAAAF/z/lc=")</f>
        <v>#VALUE!</v>
      </c>
      <c r="CK9" t="e">
        <f>AND(Data!F61,"AAAAAF/z/lg=")</f>
        <v>#VALUE!</v>
      </c>
      <c r="CL9" t="e">
        <f>AND(Data!G61,"AAAAAF/z/lk=")</f>
        <v>#VALUE!</v>
      </c>
      <c r="CM9" t="e">
        <f>AND(Data!H61,"AAAAAF/z/lo=")</f>
        <v>#VALUE!</v>
      </c>
      <c r="CN9" t="e">
        <f>AND(Data!I61,"AAAAAF/z/ls=")</f>
        <v>#VALUE!</v>
      </c>
      <c r="CO9">
        <f>IF(Data!62:62,"AAAAAF/z/lw=",0)</f>
        <v>0</v>
      </c>
      <c r="CP9" t="e">
        <f>AND(Data!A62,"AAAAAF/z/l0=")</f>
        <v>#VALUE!</v>
      </c>
      <c r="CQ9" t="e">
        <f>AND(Data!B62,"AAAAAF/z/l4=")</f>
        <v>#VALUE!</v>
      </c>
      <c r="CR9" t="e">
        <f>AND(Data!C62,"AAAAAF/z/l8=")</f>
        <v>#VALUE!</v>
      </c>
      <c r="CS9" t="e">
        <f>AND(Data!D62,"AAAAAF/z/mA=")</f>
        <v>#VALUE!</v>
      </c>
      <c r="CT9" t="e">
        <f>AND(Data!E62,"AAAAAF/z/mE=")</f>
        <v>#VALUE!</v>
      </c>
      <c r="CU9" t="e">
        <f>AND(Data!F62,"AAAAAF/z/mI=")</f>
        <v>#VALUE!</v>
      </c>
      <c r="CV9" t="e">
        <f>AND(Data!G62,"AAAAAF/z/mM=")</f>
        <v>#VALUE!</v>
      </c>
      <c r="CW9" t="e">
        <f>AND(Data!H62,"AAAAAF/z/mQ=")</f>
        <v>#VALUE!</v>
      </c>
      <c r="CX9" t="e">
        <f>AND(Data!I62,"AAAAAF/z/mU=")</f>
        <v>#VALUE!</v>
      </c>
      <c r="CY9">
        <f>IF(Data!63:63,"AAAAAF/z/mY=",0)</f>
        <v>0</v>
      </c>
      <c r="CZ9" t="e">
        <f>AND(Data!A63,"AAAAAF/z/mc=")</f>
        <v>#VALUE!</v>
      </c>
      <c r="DA9" t="e">
        <f>AND(Data!B63,"AAAAAF/z/mg=")</f>
        <v>#VALUE!</v>
      </c>
      <c r="DB9" t="e">
        <f>AND(Data!C63,"AAAAAF/z/mk=")</f>
        <v>#VALUE!</v>
      </c>
      <c r="DC9" t="e">
        <f>AND(Data!D63,"AAAAAF/z/mo=")</f>
        <v>#VALUE!</v>
      </c>
      <c r="DD9" t="e">
        <f>AND(Data!E63,"AAAAAF/z/ms=")</f>
        <v>#VALUE!</v>
      </c>
      <c r="DE9" t="e">
        <f>AND(Data!F63,"AAAAAF/z/mw=")</f>
        <v>#VALUE!</v>
      </c>
      <c r="DF9" t="e">
        <f>AND(Data!G63,"AAAAAF/z/m0=")</f>
        <v>#VALUE!</v>
      </c>
      <c r="DG9" t="e">
        <f>AND(Data!H63,"AAAAAF/z/m4=")</f>
        <v>#VALUE!</v>
      </c>
      <c r="DH9" t="e">
        <f>AND(Data!I63,"AAAAAF/z/m8=")</f>
        <v>#VALUE!</v>
      </c>
      <c r="DI9">
        <f>IF(Data!64:64,"AAAAAF/z/nA=",0)</f>
        <v>0</v>
      </c>
      <c r="DJ9" t="e">
        <f>AND(Data!A64,"AAAAAF/z/nE=")</f>
        <v>#VALUE!</v>
      </c>
      <c r="DK9" t="e">
        <f>AND(Data!B64,"AAAAAF/z/nI=")</f>
        <v>#VALUE!</v>
      </c>
      <c r="DL9" t="e">
        <f>AND(Data!C64,"AAAAAF/z/nM=")</f>
        <v>#VALUE!</v>
      </c>
      <c r="DM9" t="e">
        <f>AND(Data!D64,"AAAAAF/z/nQ=")</f>
        <v>#VALUE!</v>
      </c>
      <c r="DN9" t="e">
        <f>AND(Data!E64,"AAAAAF/z/nU=")</f>
        <v>#VALUE!</v>
      </c>
      <c r="DO9" t="e">
        <f>AND(Data!F64,"AAAAAF/z/nY=")</f>
        <v>#VALUE!</v>
      </c>
      <c r="DP9" t="e">
        <f>AND(Data!G64,"AAAAAF/z/nc=")</f>
        <v>#VALUE!</v>
      </c>
      <c r="DQ9" t="e">
        <f>AND(Data!H64,"AAAAAF/z/ng=")</f>
        <v>#VALUE!</v>
      </c>
      <c r="DR9" t="e">
        <f>AND(Data!I64,"AAAAAF/z/nk=")</f>
        <v>#VALUE!</v>
      </c>
      <c r="DS9">
        <f>IF(Data!65:65,"AAAAAF/z/no=",0)</f>
        <v>0</v>
      </c>
      <c r="DT9" t="e">
        <f>AND(Data!A65,"AAAAAF/z/ns=")</f>
        <v>#VALUE!</v>
      </c>
      <c r="DU9" t="e">
        <f>AND(Data!B65,"AAAAAF/z/nw=")</f>
        <v>#VALUE!</v>
      </c>
      <c r="DV9" t="e">
        <f>AND(Data!C65,"AAAAAF/z/n0=")</f>
        <v>#VALUE!</v>
      </c>
      <c r="DW9" t="e">
        <f>AND(Data!D65,"AAAAAF/z/n4=")</f>
        <v>#VALUE!</v>
      </c>
      <c r="DX9" t="e">
        <f>AND(Data!E65,"AAAAAF/z/n8=")</f>
        <v>#VALUE!</v>
      </c>
      <c r="DY9" t="e">
        <f>AND(Data!F65,"AAAAAF/z/oA=")</f>
        <v>#VALUE!</v>
      </c>
      <c r="DZ9" t="e">
        <f>AND(Data!G65,"AAAAAF/z/oE=")</f>
        <v>#VALUE!</v>
      </c>
      <c r="EA9" t="e">
        <f>AND(Data!H65,"AAAAAF/z/oI=")</f>
        <v>#VALUE!</v>
      </c>
      <c r="EB9" t="e">
        <f>AND(Data!I65,"AAAAAF/z/oM=")</f>
        <v>#VALUE!</v>
      </c>
      <c r="EC9">
        <f>IF(Data!66:66,"AAAAAF/z/oQ=",0)</f>
        <v>0</v>
      </c>
      <c r="ED9" t="e">
        <f>AND(Data!A66,"AAAAAF/z/oU=")</f>
        <v>#VALUE!</v>
      </c>
      <c r="EE9" t="e">
        <f>AND(Data!B66,"AAAAAF/z/oY=")</f>
        <v>#VALUE!</v>
      </c>
      <c r="EF9" t="e">
        <f>AND(Data!C66,"AAAAAF/z/oc=")</f>
        <v>#VALUE!</v>
      </c>
      <c r="EG9" t="e">
        <f>AND(Data!D66,"AAAAAF/z/og=")</f>
        <v>#VALUE!</v>
      </c>
      <c r="EH9" t="e">
        <f>AND(Data!E66,"AAAAAF/z/ok=")</f>
        <v>#VALUE!</v>
      </c>
      <c r="EI9" t="e">
        <f>AND(Data!F66,"AAAAAF/z/oo=")</f>
        <v>#VALUE!</v>
      </c>
      <c r="EJ9" t="e">
        <f>AND(Data!G66,"AAAAAF/z/os=")</f>
        <v>#VALUE!</v>
      </c>
      <c r="EK9" t="e">
        <f>AND(Data!H66,"AAAAAF/z/ow=")</f>
        <v>#VALUE!</v>
      </c>
      <c r="EL9" t="e">
        <f>AND(Data!I66,"AAAAAF/z/o0=")</f>
        <v>#VALUE!</v>
      </c>
      <c r="EM9">
        <f>IF(Data!67:67,"AAAAAF/z/o4=",0)</f>
        <v>0</v>
      </c>
      <c r="EN9" t="e">
        <f>AND(Data!A67,"AAAAAF/z/o8=")</f>
        <v>#VALUE!</v>
      </c>
      <c r="EO9" t="e">
        <f>AND(Data!B67,"AAAAAF/z/pA=")</f>
        <v>#VALUE!</v>
      </c>
      <c r="EP9" t="e">
        <f>AND(Data!C67,"AAAAAF/z/pE=")</f>
        <v>#VALUE!</v>
      </c>
      <c r="EQ9" t="e">
        <f>AND(Data!D67,"AAAAAF/z/pI=")</f>
        <v>#VALUE!</v>
      </c>
      <c r="ER9" t="e">
        <f>AND(Data!E67,"AAAAAF/z/pM=")</f>
        <v>#VALUE!</v>
      </c>
      <c r="ES9" t="e">
        <f>AND(Data!F67,"AAAAAF/z/pQ=")</f>
        <v>#VALUE!</v>
      </c>
      <c r="ET9" t="e">
        <f>AND(Data!G67,"AAAAAF/z/pU=")</f>
        <v>#VALUE!</v>
      </c>
      <c r="EU9" t="e">
        <f>AND(Data!H67,"AAAAAF/z/pY=")</f>
        <v>#VALUE!</v>
      </c>
      <c r="EV9" t="e">
        <f>AND(Data!I67,"AAAAAF/z/pc=")</f>
        <v>#VALUE!</v>
      </c>
      <c r="EW9">
        <f>IF(Data!68:68,"AAAAAF/z/pg=",0)</f>
        <v>0</v>
      </c>
      <c r="EX9" t="e">
        <f>AND(Data!A68,"AAAAAF/z/pk=")</f>
        <v>#VALUE!</v>
      </c>
      <c r="EY9" t="e">
        <f>AND(Data!B68,"AAAAAF/z/po=")</f>
        <v>#VALUE!</v>
      </c>
      <c r="EZ9" t="e">
        <f>AND(Data!C68,"AAAAAF/z/ps=")</f>
        <v>#VALUE!</v>
      </c>
      <c r="FA9" t="e">
        <f>AND(Data!D68,"AAAAAF/z/pw=")</f>
        <v>#VALUE!</v>
      </c>
      <c r="FB9" t="e">
        <f>AND(Data!E68,"AAAAAF/z/p0=")</f>
        <v>#VALUE!</v>
      </c>
      <c r="FC9" t="e">
        <f>AND(Data!F68,"AAAAAF/z/p4=")</f>
        <v>#VALUE!</v>
      </c>
      <c r="FD9" t="e">
        <f>AND(Data!G68,"AAAAAF/z/p8=")</f>
        <v>#VALUE!</v>
      </c>
      <c r="FE9" t="e">
        <f>AND(Data!H68,"AAAAAF/z/qA=")</f>
        <v>#VALUE!</v>
      </c>
      <c r="FF9" t="e">
        <f>AND(Data!I68,"AAAAAF/z/qE=")</f>
        <v>#VALUE!</v>
      </c>
      <c r="FG9" t="e">
        <f>IF(Data!A:A,"AAAAAF/z/qI=",0)</f>
        <v>#VALUE!</v>
      </c>
      <c r="FH9" t="str">
        <f>IF(Data!B:B,"AAAAAF/z/qM=",0)</f>
        <v>AAAAAF/z/qM=</v>
      </c>
      <c r="FI9" t="str">
        <f>IF(Data!C:C,"AAAAAF/z/qQ=",0)</f>
        <v>AAAAAF/z/qQ=</v>
      </c>
      <c r="FJ9" t="str">
        <f>IF(Data!D:D,"AAAAAF/z/qU=",0)</f>
        <v>AAAAAF/z/qU=</v>
      </c>
      <c r="FK9">
        <f>IF(Data!E:E,"AAAAAF/z/qY=",0)</f>
        <v>0</v>
      </c>
      <c r="FL9" t="e">
        <f>IF(Data!F:F,"AAAAAF/z/qc=",0)</f>
        <v>#VALUE!</v>
      </c>
      <c r="FM9" t="str">
        <f>IF(Data!G:G,"AAAAAF/z/qg=",0)</f>
        <v>AAAAAF/z/qg=</v>
      </c>
      <c r="FN9" t="str">
        <f>IF(Data!H:H,"AAAAAF/z/qk=",0)</f>
        <v>AAAAAF/z/qk=</v>
      </c>
      <c r="FO9" t="str">
        <f>IF(Data!I:I,"AAAAAF/z/qo=",0)</f>
        <v>AAAAAF/z/qo=</v>
      </c>
      <c r="FP9">
        <f>IF(Data!J:J,"AAAAAF/z/qs=",0)</f>
        <v>0</v>
      </c>
      <c r="FQ9" t="e">
        <f>IF(Data!K:K,"AAAAAF/z/qw=",0)</f>
        <v>#VALUE!</v>
      </c>
      <c r="FR9" t="str">
        <f>IF(Data!L:L,"AAAAAF/z/q0=",0)</f>
        <v>AAAAAF/z/q0=</v>
      </c>
      <c r="FS9" t="str">
        <f>IF(Data!M:M,"AAAAAF/z/q4=",0)</f>
        <v>AAAAAF/z/q4=</v>
      </c>
      <c r="FT9" t="str">
        <f>IF(Data!N:N,"AAAAAF/z/q8=",0)</f>
        <v>AAAAAF/z/q8=</v>
      </c>
      <c r="FU9">
        <f>IF(Data!O:O,"AAAAAF/z/rA=",0)</f>
        <v>0</v>
      </c>
      <c r="FV9" t="e">
        <f>IF(Data!P:P,"AAAAAF/z/rE=",0)</f>
        <v>#VALUE!</v>
      </c>
      <c r="FW9" t="str">
        <f>IF(Data!Q:Q,"AAAAAF/z/rI=",0)</f>
        <v>AAAAAF/z/rI=</v>
      </c>
      <c r="FX9" t="str">
        <f>IF(Data!R:R,"AAAAAF/z/rM=",0)</f>
        <v>AAAAAF/z/rM=</v>
      </c>
      <c r="FY9" t="str">
        <f>IF(Data!S:S,"AAAAAF/z/rQ=",0)</f>
        <v>AAAAAF/z/rQ=</v>
      </c>
      <c r="FZ9">
        <f>IF(Data!T:T,"AAAAAF/z/rU=",0)</f>
        <v>0</v>
      </c>
      <c r="GA9" t="e">
        <f>IF(Data!U:U,"AAAAAF/z/rY=",0)</f>
        <v>#VALUE!</v>
      </c>
      <c r="GB9" t="str">
        <f>IF(Data!V:V,"AAAAAF/z/rc=",0)</f>
        <v>AAAAAF/z/rc=</v>
      </c>
      <c r="GC9" t="str">
        <f>IF(Data!W:W,"AAAAAF/z/rg=",0)</f>
        <v>AAAAAF/z/rg=</v>
      </c>
      <c r="GD9" t="str">
        <f>IF(Data!X:X,"AAAAAF/z/rk=",0)</f>
        <v>AAAAAF/z/rk=</v>
      </c>
      <c r="GE9">
        <f>IF(Data!Y:Y,"AAAAAF/z/ro=",0)</f>
        <v>0</v>
      </c>
      <c r="GF9" t="e">
        <f>IF(Data!Z:Z,"AAAAAF/z/rs=",0)</f>
        <v>#VALUE!</v>
      </c>
      <c r="GG9" t="str">
        <f>IF(Data!AA:AA,"AAAAAF/z/rw=",0)</f>
        <v>AAAAAF/z/rw=</v>
      </c>
      <c r="GH9" t="str">
        <f>IF(Data!AB:AB,"AAAAAF/z/r0=",0)</f>
        <v>AAAAAF/z/r0=</v>
      </c>
      <c r="GI9" t="str">
        <f>IF(Data!AC:AC,"AAAAAF/z/r4=",0)</f>
        <v>AAAAAF/z/r4=</v>
      </c>
      <c r="GJ9" t="e">
        <f>IF(Data!#REF!,"AAAAAF/z/r8=",0)</f>
        <v>#REF!</v>
      </c>
      <c r="GK9" t="e">
        <f>IF(Data!#REF!,"AAAAAF/z/sA=",0)</f>
        <v>#REF!</v>
      </c>
      <c r="GL9" t="e">
        <f>IF(Data!#REF!,"AAAAAF/z/sE=",0)</f>
        <v>#REF!</v>
      </c>
      <c r="GM9" t="e">
        <f>IF(Data!#REF!,"AAAAAF/z/sI=",0)</f>
        <v>#REF!</v>
      </c>
      <c r="GN9" t="e">
        <f>IF(Data!#REF!,"AAAAAF/z/sM=",0)</f>
        <v>#REF!</v>
      </c>
      <c r="GO9" t="e">
        <f>IF(Data!#REF!,"AAAAAF/z/sQ=",0)</f>
        <v>#REF!</v>
      </c>
      <c r="GP9" t="e">
        <f>IF(Data!#REF!,"AAAAAF/z/sU=",0)</f>
        <v>#REF!</v>
      </c>
      <c r="GQ9" t="e">
        <f>IF(Data!#REF!,"AAAAAF/z/sY=",0)</f>
        <v>#REF!</v>
      </c>
      <c r="GR9" t="e">
        <f>IF(Data!#REF!,"AAAAAF/z/sc=",0)</f>
        <v>#REF!</v>
      </c>
      <c r="GS9" t="e">
        <f>IF(Data!#REF!,"AAAAAF/z/sg=",0)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2020-01-10T10:32:29Z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